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fileSharing readOnlyRecommended="1"/>
  <workbookPr/>
  <mc:AlternateContent xmlns:mc="http://schemas.openxmlformats.org/markup-compatibility/2006">
    <mc:Choice Requires="x15">
      <x15ac:absPath xmlns:x15ac="http://schemas.microsoft.com/office/spreadsheetml/2010/11/ac" url="https://vsfg-my.sharepoint.com/personal/alan_tam_vsfg_com/Documents/ZUU RELATED/ANALYSIS TOOLS/Prototype/Current Version/"/>
    </mc:Choice>
  </mc:AlternateContent>
  <xr:revisionPtr revIDLastSave="6" documentId="8_{221C47DC-39FC-4458-8E38-64B7CA5F5C52}" xr6:coauthVersionLast="47" xr6:coauthVersionMax="47" xr10:uidLastSave="{D5EC1957-33BA-4054-8714-56C76428CF5C}"/>
  <workbookProtection workbookAlgorithmName="SHA-512" workbookHashValue="Yv4n7LGHdKKS6jFOVYDkNuHDJcgr27wjJxTkqLHMvRE7gmY107QnZeQznT3SwQ5H3eZ4aRUz++pFtMSujJk81w==" workbookSaltValue="f8U3xiT7hdwCVaGF1TDENA==" workbookSpinCount="100000" lockStructure="1"/>
  <bookViews>
    <workbookView xWindow="-120" yWindow="-16320" windowWidth="29040" windowHeight="15840" activeTab="1" xr2:uid="{F06E9A99-7B71-45C6-BD39-5C0A4D333506}"/>
  </bookViews>
  <sheets>
    <sheet name="INPUT" sheetId="7" r:id="rId1"/>
    <sheet name="OUTPUT"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32" i="5" l="1"/>
  <c r="G32" i="5"/>
  <c r="A43" i="5"/>
  <c r="A42" i="5"/>
  <c r="A41" i="5"/>
  <c r="A35" i="5"/>
  <c r="J57" i="5"/>
  <c r="I57" i="5"/>
  <c r="H57" i="5"/>
  <c r="G57" i="5"/>
  <c r="F57" i="5"/>
  <c r="E57" i="5"/>
  <c r="D57" i="5"/>
  <c r="C57" i="5"/>
  <c r="B57" i="5"/>
  <c r="A57" i="5"/>
  <c r="A56" i="5"/>
  <c r="H5" i="5"/>
  <c r="H3" i="5"/>
  <c r="G53" i="5" s="1"/>
  <c r="A3" i="5"/>
  <c r="A51" i="5" s="1"/>
  <c r="I52" i="5"/>
  <c r="A40" i="5"/>
  <c r="A38" i="5"/>
  <c r="A23" i="5"/>
  <c r="E32" i="5"/>
  <c r="A32" i="5"/>
  <c r="A36" i="5"/>
  <c r="A22" i="5"/>
  <c r="A34" i="5"/>
  <c r="A31" i="5"/>
  <c r="A29" i="5"/>
  <c r="A28" i="5"/>
  <c r="A27" i="5"/>
  <c r="A25" i="5"/>
  <c r="A26" i="5"/>
  <c r="A24" i="5"/>
  <c r="A21" i="5"/>
  <c r="A19" i="5"/>
  <c r="A18" i="5"/>
  <c r="A16" i="5"/>
  <c r="A15" i="5"/>
  <c r="A14" i="5"/>
  <c r="A12" i="5"/>
  <c r="A11" i="5"/>
  <c r="A10" i="5"/>
  <c r="A9" i="5"/>
  <c r="A8" i="5"/>
  <c r="A7" i="5"/>
  <c r="A5" i="5"/>
  <c r="A53" i="5" s="1"/>
  <c r="A4" i="5"/>
  <c r="A52" i="5" s="1"/>
  <c r="A2" i="5"/>
  <c r="A50" i="5" s="1"/>
  <c r="A1" i="5"/>
  <c r="A49" i="5" s="1"/>
  <c r="K51" i="7"/>
  <c r="H19" i="5" s="1"/>
  <c r="K52" i="7"/>
  <c r="I8" i="5" s="1"/>
  <c r="K53" i="7"/>
  <c r="E5" i="5" s="1"/>
  <c r="AP28" i="7"/>
  <c r="H20" i="5"/>
  <c r="E4" i="5" l="1"/>
  <c r="E3" i="5"/>
  <c r="C51" i="5" s="1"/>
  <c r="I9" i="5"/>
  <c r="G33" i="5"/>
  <c r="E33" i="5" s="1"/>
  <c r="J33" i="5"/>
  <c r="I10" i="5"/>
  <c r="G52" i="5"/>
  <c r="G51" i="5"/>
  <c r="J28" i="7"/>
  <c r="J16" i="7"/>
  <c r="J10" i="7"/>
  <c r="T33" i="7"/>
  <c r="T34" i="7" s="1"/>
  <c r="T35" i="7" s="1"/>
  <c r="T36" i="7" s="1"/>
  <c r="T37" i="7" s="1"/>
  <c r="T38" i="7" s="1"/>
  <c r="T39" i="7" s="1"/>
  <c r="T40" i="7" s="1"/>
  <c r="T41" i="7" s="1"/>
  <c r="T42" i="7" s="1"/>
  <c r="T43" i="7"/>
  <c r="T44" i="7"/>
  <c r="T45" i="7" s="1"/>
  <c r="T46" i="7" s="1"/>
  <c r="T47" i="7" s="1"/>
  <c r="T48" i="7" s="1"/>
  <c r="W32" i="7"/>
  <c r="X32" i="7" s="1"/>
  <c r="Y32" i="7" s="1"/>
  <c r="Z32" i="7" s="1"/>
  <c r="AA32" i="7" s="1"/>
  <c r="AB32" i="7" s="1"/>
  <c r="AC32" i="7" s="1"/>
  <c r="AD32" i="7" s="1"/>
  <c r="AE32" i="7" s="1"/>
  <c r="AF32" i="7" s="1"/>
  <c r="AG32" i="7" s="1"/>
  <c r="AH32" i="7" s="1"/>
  <c r="AI32" i="7" s="1"/>
  <c r="AJ32" i="7" s="1"/>
  <c r="AK32" i="7" s="1"/>
  <c r="AL32" i="7" s="1"/>
  <c r="AM32" i="7" s="1"/>
  <c r="AN32" i="7" s="1"/>
  <c r="T31" i="7"/>
  <c r="U31" i="7"/>
  <c r="V31" i="7" s="1"/>
  <c r="W31" i="7" s="1"/>
  <c r="X31" i="7" s="1"/>
  <c r="Y31" i="7" s="1"/>
  <c r="Z31" i="7" s="1"/>
  <c r="AA31" i="7" s="1"/>
  <c r="AB31" i="7" s="1"/>
  <c r="AC31" i="7" s="1"/>
  <c r="AD31" i="7" s="1"/>
  <c r="AE31" i="7" s="1"/>
  <c r="AF31" i="7" s="1"/>
  <c r="AG31" i="7" s="1"/>
  <c r="AH31" i="7" s="1"/>
  <c r="AI31" i="7" s="1"/>
  <c r="AJ31" i="7" s="1"/>
  <c r="AK31" i="7" s="1"/>
  <c r="AL31" i="7" s="1"/>
  <c r="AM31" i="7" s="1"/>
  <c r="AN31" i="7" s="1"/>
  <c r="R31" i="7"/>
  <c r="S23" i="7"/>
  <c r="R23" i="7"/>
  <c r="S22" i="7"/>
  <c r="R22" i="7"/>
  <c r="S21" i="7"/>
  <c r="S48" i="7" s="1"/>
  <c r="AL48" i="7" s="1"/>
  <c r="R21" i="7"/>
  <c r="R48" i="7" s="1"/>
  <c r="S20" i="7"/>
  <c r="R20" i="7"/>
  <c r="R47" i="7" s="1"/>
  <c r="S19" i="7"/>
  <c r="R19" i="7"/>
  <c r="R46" i="7"/>
  <c r="S18" i="7"/>
  <c r="S45" i="7" s="1"/>
  <c r="AI45" i="7" s="1"/>
  <c r="R18" i="7"/>
  <c r="R45" i="7"/>
  <c r="S17" i="7"/>
  <c r="S44" i="7" s="1"/>
  <c r="AH44" i="7" s="1"/>
  <c r="R17" i="7"/>
  <c r="R44" i="7" s="1"/>
  <c r="S16" i="7"/>
  <c r="S43" i="7" s="1"/>
  <c r="AG43" i="7" s="1"/>
  <c r="R16" i="7"/>
  <c r="R43" i="7"/>
  <c r="S15" i="7"/>
  <c r="R15" i="7"/>
  <c r="S14" i="7"/>
  <c r="S42" i="7" s="1"/>
  <c r="AE42" i="7" s="1"/>
  <c r="R14" i="7"/>
  <c r="R42" i="7" s="1"/>
  <c r="S13" i="7"/>
  <c r="S41" i="7" s="1"/>
  <c r="AD41" i="7" s="1"/>
  <c r="R13" i="7"/>
  <c r="R41" i="7" s="1"/>
  <c r="S12" i="7"/>
  <c r="S40" i="7" s="1"/>
  <c r="AC40" i="7" s="1"/>
  <c r="R12" i="7"/>
  <c r="R40" i="7" s="1"/>
  <c r="S11" i="7"/>
  <c r="S39" i="7" s="1"/>
  <c r="AB39" i="7" s="1"/>
  <c r="R11" i="7"/>
  <c r="R39" i="7" s="1"/>
  <c r="S10" i="7"/>
  <c r="R10" i="7"/>
  <c r="R38" i="7" s="1"/>
  <c r="S9" i="7"/>
  <c r="S37" i="7" s="1"/>
  <c r="Z37" i="7" s="1"/>
  <c r="R9" i="7"/>
  <c r="R37" i="7" s="1"/>
  <c r="S8" i="7"/>
  <c r="S36" i="7" s="1"/>
  <c r="Y36" i="7" s="1"/>
  <c r="R8" i="7"/>
  <c r="R36" i="7" s="1"/>
  <c r="S7" i="7"/>
  <c r="R7" i="7"/>
  <c r="R35" i="7"/>
  <c r="S6" i="7"/>
  <c r="S34" i="7" s="1"/>
  <c r="W34" i="7" s="1"/>
  <c r="R6" i="7"/>
  <c r="R34" i="7" s="1"/>
  <c r="S5" i="7"/>
  <c r="S33" i="7" s="1"/>
  <c r="V33" i="7" s="1"/>
  <c r="R5" i="7"/>
  <c r="R33" i="7" s="1"/>
  <c r="T4" i="7"/>
  <c r="T5" i="7" s="1"/>
  <c r="S4" i="7"/>
  <c r="R4" i="7"/>
  <c r="R32" i="7" s="1"/>
  <c r="T3" i="7"/>
  <c r="U3" i="7" s="1"/>
  <c r="S3" i="7"/>
  <c r="S31" i="7" s="1"/>
  <c r="F33" i="5"/>
  <c r="A20" i="5"/>
  <c r="H26" i="5"/>
  <c r="H28" i="5"/>
  <c r="H25" i="5"/>
  <c r="H21" i="5"/>
  <c r="I35" i="5" s="1"/>
  <c r="H14" i="5"/>
  <c r="H15" i="5" s="1"/>
  <c r="H11" i="5"/>
  <c r="H12" i="5"/>
  <c r="I51" i="5"/>
  <c r="C52" i="5"/>
  <c r="C53" i="5"/>
  <c r="I3" i="5"/>
  <c r="I53" i="5" s="1"/>
  <c r="I33" i="5"/>
  <c r="S46" i="7"/>
  <c r="AJ46" i="7" s="1"/>
  <c r="S47" i="7"/>
  <c r="AK47" i="7" s="1"/>
  <c r="S35" i="7"/>
  <c r="X35" i="7" s="1"/>
  <c r="S38" i="7"/>
  <c r="AA38" i="7" s="1"/>
  <c r="G34" i="5"/>
  <c r="I34" i="5" s="1"/>
  <c r="AH43" i="7"/>
  <c r="AI43" i="7" s="1"/>
  <c r="W33" i="7" l="1"/>
  <c r="X33" i="7" s="1"/>
  <c r="B58" i="5"/>
  <c r="C58" i="5"/>
  <c r="U4" i="7"/>
  <c r="U27" i="7" s="1"/>
  <c r="AI44" i="7"/>
  <c r="AJ44" i="7" s="1"/>
  <c r="AJ43" i="7"/>
  <c r="AK43" i="7" s="1"/>
  <c r="AL43" i="7" s="1"/>
  <c r="AM43" i="7" s="1"/>
  <c r="AN43" i="7" s="1"/>
  <c r="S32" i="7"/>
  <c r="U32" i="7" s="1"/>
  <c r="E34" i="5"/>
  <c r="H16" i="5"/>
  <c r="H41" i="5" s="1"/>
  <c r="G73" i="5"/>
  <c r="G76" i="5"/>
  <c r="G71" i="5"/>
  <c r="G68" i="5"/>
  <c r="V4" i="7"/>
  <c r="W4" i="7" s="1"/>
  <c r="X4" i="7" s="1"/>
  <c r="Y4" i="7" s="1"/>
  <c r="Z4" i="7" s="1"/>
  <c r="AA4" i="7" s="1"/>
  <c r="AB4" i="7" s="1"/>
  <c r="AC4" i="7" s="1"/>
  <c r="AD4" i="7" s="1"/>
  <c r="AE4" i="7" s="1"/>
  <c r="AF4" i="7" s="1"/>
  <c r="AG4" i="7" s="1"/>
  <c r="AH4" i="7" s="1"/>
  <c r="AI4" i="7" s="1"/>
  <c r="AJ4" i="7" s="1"/>
  <c r="AK4" i="7" s="1"/>
  <c r="AL4" i="7" s="1"/>
  <c r="AM4" i="7" s="1"/>
  <c r="AN4" i="7" s="1"/>
  <c r="H27" i="5"/>
  <c r="D58" i="5" s="1"/>
  <c r="I36" i="5"/>
  <c r="I38" i="5" s="1"/>
  <c r="V3" i="7"/>
  <c r="W3" i="7" s="1"/>
  <c r="U24" i="7"/>
  <c r="J59" i="5" s="1"/>
  <c r="T6" i="7"/>
  <c r="W6" i="7" s="1"/>
  <c r="V5" i="7"/>
  <c r="V24" i="7" s="1"/>
  <c r="J60" i="5" s="1"/>
  <c r="H22" i="5"/>
  <c r="H23" i="5" s="1"/>
  <c r="G35" i="5"/>
  <c r="G36" i="5" s="1"/>
  <c r="G38" i="5" s="1"/>
  <c r="E35" i="5"/>
  <c r="G70" i="5"/>
  <c r="G63" i="5"/>
  <c r="G60" i="5"/>
  <c r="G65" i="5"/>
  <c r="G62" i="5"/>
  <c r="G72" i="5"/>
  <c r="G77" i="5"/>
  <c r="G74" i="5"/>
  <c r="G67" i="5"/>
  <c r="G61" i="5"/>
  <c r="G69" i="5"/>
  <c r="G64" i="5"/>
  <c r="G75" i="5"/>
  <c r="G66" i="5"/>
  <c r="G59" i="5"/>
  <c r="G58" i="5"/>
  <c r="G78" i="5"/>
  <c r="Y33" i="7" l="1"/>
  <c r="Z33" i="7" s="1"/>
  <c r="AA33" i="7" s="1"/>
  <c r="AB33" i="7" s="1"/>
  <c r="AC33" i="7" s="1"/>
  <c r="AD33" i="7" s="1"/>
  <c r="AE33" i="7" s="1"/>
  <c r="AF33" i="7" s="1"/>
  <c r="AG33" i="7" s="1"/>
  <c r="AH33" i="7" s="1"/>
  <c r="AI33" i="7" s="1"/>
  <c r="AJ33" i="7" s="1"/>
  <c r="AK33" i="7" s="1"/>
  <c r="AL33" i="7" s="1"/>
  <c r="AM33" i="7" s="1"/>
  <c r="AN33" i="7" s="1"/>
  <c r="X34" i="7"/>
  <c r="Y34" i="7" s="1"/>
  <c r="V25" i="7"/>
  <c r="I60" i="5" s="1"/>
  <c r="T7" i="7"/>
  <c r="T8" i="7" s="1"/>
  <c r="U25" i="7"/>
  <c r="I59" i="5" s="1"/>
  <c r="E36" i="5"/>
  <c r="E38" i="5" s="1"/>
  <c r="W5" i="7"/>
  <c r="X5" i="7" s="1"/>
  <c r="Y5" i="7" s="1"/>
  <c r="Z5" i="7" s="1"/>
  <c r="AA5" i="7" s="1"/>
  <c r="AB5" i="7" s="1"/>
  <c r="AC5" i="7" s="1"/>
  <c r="AD5" i="7" s="1"/>
  <c r="AE5" i="7" s="1"/>
  <c r="AF5" i="7" s="1"/>
  <c r="AG5" i="7" s="1"/>
  <c r="AH5" i="7" s="1"/>
  <c r="AI5" i="7" s="1"/>
  <c r="AJ5" i="7" s="1"/>
  <c r="AK5" i="7" s="1"/>
  <c r="AL5" i="7" s="1"/>
  <c r="AM5" i="7" s="1"/>
  <c r="AN5" i="7" s="1"/>
  <c r="AJ45" i="7"/>
  <c r="AK45" i="7" s="1"/>
  <c r="AK44" i="7"/>
  <c r="AL44" i="7" s="1"/>
  <c r="AM44" i="7" s="1"/>
  <c r="AN44" i="7" s="1"/>
  <c r="H42" i="5"/>
  <c r="H29" i="5"/>
  <c r="E59" i="5" s="1"/>
  <c r="E60" i="5"/>
  <c r="E61" i="5" s="1"/>
  <c r="E62" i="5" s="1"/>
  <c r="E63" i="5" s="1"/>
  <c r="E64" i="5" s="1"/>
  <c r="E65" i="5" s="1"/>
  <c r="E66" i="5" s="1"/>
  <c r="E67" i="5" s="1"/>
  <c r="E68" i="5" s="1"/>
  <c r="E69" i="5" s="1"/>
  <c r="E70" i="5" s="1"/>
  <c r="E71" i="5" s="1"/>
  <c r="E72" i="5" s="1"/>
  <c r="E73" i="5" s="1"/>
  <c r="E74" i="5" s="1"/>
  <c r="E75" i="5" s="1"/>
  <c r="E76" i="5" s="1"/>
  <c r="E77" i="5" s="1"/>
  <c r="E78" i="5" s="1"/>
  <c r="X3" i="7"/>
  <c r="W25" i="7" l="1"/>
  <c r="I61" i="5" s="1"/>
  <c r="Y35" i="7"/>
  <c r="Z35" i="7" s="1"/>
  <c r="Z34" i="7"/>
  <c r="AA34" i="7" s="1"/>
  <c r="AB34" i="7" s="1"/>
  <c r="AC34" i="7" s="1"/>
  <c r="AD34" i="7" s="1"/>
  <c r="AE34" i="7" s="1"/>
  <c r="AF34" i="7" s="1"/>
  <c r="AG34" i="7" s="1"/>
  <c r="AH34" i="7" s="1"/>
  <c r="AI34" i="7" s="1"/>
  <c r="AJ34" i="7" s="1"/>
  <c r="AK34" i="7" s="1"/>
  <c r="AL34" i="7" s="1"/>
  <c r="AM34" i="7" s="1"/>
  <c r="AN34" i="7" s="1"/>
  <c r="X7" i="7"/>
  <c r="X6" i="7"/>
  <c r="Y6" i="7" s="1"/>
  <c r="Y7" i="7" s="1"/>
  <c r="Z7" i="7" s="1"/>
  <c r="W24" i="7"/>
  <c r="J61" i="5" s="1"/>
  <c r="AL45" i="7"/>
  <c r="AM45" i="7" s="1"/>
  <c r="AN45" i="7" s="1"/>
  <c r="AK46" i="7"/>
  <c r="AL46" i="7" s="1"/>
  <c r="E58" i="5"/>
  <c r="F58" i="5" s="1"/>
  <c r="H43" i="5"/>
  <c r="I40" i="5" s="1"/>
  <c r="T9" i="7"/>
  <c r="Y8" i="7"/>
  <c r="Y3" i="7"/>
  <c r="Z36" i="7" l="1"/>
  <c r="AA36" i="7" s="1"/>
  <c r="AA35" i="7"/>
  <c r="AB35" i="7" s="1"/>
  <c r="AC35" i="7" s="1"/>
  <c r="AD35" i="7" s="1"/>
  <c r="AE35" i="7" s="1"/>
  <c r="AF35" i="7" s="1"/>
  <c r="AG35" i="7" s="1"/>
  <c r="AH35" i="7" s="1"/>
  <c r="AI35" i="7" s="1"/>
  <c r="AJ35" i="7" s="1"/>
  <c r="AK35" i="7" s="1"/>
  <c r="AL35" i="7" s="1"/>
  <c r="AM35" i="7" s="1"/>
  <c r="AN35" i="7" s="1"/>
  <c r="X25" i="7"/>
  <c r="I62" i="5" s="1"/>
  <c r="Z6" i="7"/>
  <c r="AA6" i="7" s="1"/>
  <c r="AB6" i="7" s="1"/>
  <c r="AC6" i="7" s="1"/>
  <c r="AD6" i="7" s="1"/>
  <c r="AE6" i="7" s="1"/>
  <c r="AF6" i="7" s="1"/>
  <c r="AG6" i="7" s="1"/>
  <c r="AH6" i="7" s="1"/>
  <c r="AI6" i="7" s="1"/>
  <c r="AJ6" i="7" s="1"/>
  <c r="AK6" i="7" s="1"/>
  <c r="AL6" i="7" s="1"/>
  <c r="AM6" i="7" s="1"/>
  <c r="AN6" i="7" s="1"/>
  <c r="X24" i="7"/>
  <c r="J62" i="5" s="1"/>
  <c r="AL47" i="7"/>
  <c r="AM47" i="7" s="1"/>
  <c r="AM46" i="7"/>
  <c r="AN46" i="7" s="1"/>
  <c r="F59" i="5"/>
  <c r="H58" i="5"/>
  <c r="Y25" i="7"/>
  <c r="I63" i="5" s="1"/>
  <c r="Z3" i="7"/>
  <c r="Y24" i="7"/>
  <c r="J63" i="5" s="1"/>
  <c r="AA7" i="7"/>
  <c r="AB7" i="7" s="1"/>
  <c r="AC7" i="7" s="1"/>
  <c r="AD7" i="7" s="1"/>
  <c r="AE7" i="7" s="1"/>
  <c r="AF7" i="7" s="1"/>
  <c r="AG7" i="7" s="1"/>
  <c r="AH7" i="7" s="1"/>
  <c r="AI7" i="7" s="1"/>
  <c r="AJ7" i="7" s="1"/>
  <c r="AK7" i="7" s="1"/>
  <c r="AL7" i="7" s="1"/>
  <c r="AM7" i="7" s="1"/>
  <c r="AN7" i="7" s="1"/>
  <c r="Z8" i="7"/>
  <c r="AA8" i="7" s="1"/>
  <c r="T10" i="7"/>
  <c r="Z9" i="7"/>
  <c r="AB36" i="7" l="1"/>
  <c r="AC36" i="7" s="1"/>
  <c r="AD36" i="7" s="1"/>
  <c r="AE36" i="7" s="1"/>
  <c r="AF36" i="7" s="1"/>
  <c r="AG36" i="7" s="1"/>
  <c r="AH36" i="7" s="1"/>
  <c r="AI36" i="7" s="1"/>
  <c r="AJ36" i="7" s="1"/>
  <c r="AK36" i="7" s="1"/>
  <c r="AL36" i="7" s="1"/>
  <c r="AM36" i="7" s="1"/>
  <c r="AN36" i="7" s="1"/>
  <c r="AA37" i="7"/>
  <c r="AB37" i="7" s="1"/>
  <c r="AM48" i="7"/>
  <c r="AN48" i="7" s="1"/>
  <c r="AN47" i="7"/>
  <c r="H59" i="5"/>
  <c r="F60" i="5"/>
  <c r="AA10" i="7"/>
  <c r="T11" i="7"/>
  <c r="AA9" i="7"/>
  <c r="AB9" i="7" s="1"/>
  <c r="AB8" i="7"/>
  <c r="AC8" i="7" s="1"/>
  <c r="AD8" i="7" s="1"/>
  <c r="AE8" i="7" s="1"/>
  <c r="AF8" i="7" s="1"/>
  <c r="AG8" i="7" s="1"/>
  <c r="AH8" i="7" s="1"/>
  <c r="AI8" i="7" s="1"/>
  <c r="AJ8" i="7" s="1"/>
  <c r="AK8" i="7" s="1"/>
  <c r="AL8" i="7" s="1"/>
  <c r="AM8" i="7" s="1"/>
  <c r="AN8" i="7" s="1"/>
  <c r="Z25" i="7"/>
  <c r="I64" i="5" s="1"/>
  <c r="Z24" i="7"/>
  <c r="J64" i="5" s="1"/>
  <c r="AA3" i="7"/>
  <c r="AC37" i="7" l="1"/>
  <c r="AD37" i="7" s="1"/>
  <c r="AE37" i="7" s="1"/>
  <c r="AF37" i="7" s="1"/>
  <c r="AG37" i="7" s="1"/>
  <c r="AH37" i="7" s="1"/>
  <c r="AI37" i="7" s="1"/>
  <c r="AJ37" i="7" s="1"/>
  <c r="AK37" i="7" s="1"/>
  <c r="AL37" i="7" s="1"/>
  <c r="AM37" i="7" s="1"/>
  <c r="AN37" i="7" s="1"/>
  <c r="AB38" i="7"/>
  <c r="AC38" i="7" s="1"/>
  <c r="H60" i="5"/>
  <c r="F61" i="5"/>
  <c r="AB11" i="7"/>
  <c r="T12" i="7"/>
  <c r="AC9" i="7"/>
  <c r="AD9" i="7" s="1"/>
  <c r="AE9" i="7" s="1"/>
  <c r="AF9" i="7" s="1"/>
  <c r="AG9" i="7" s="1"/>
  <c r="AH9" i="7" s="1"/>
  <c r="AI9" i="7" s="1"/>
  <c r="AJ9" i="7" s="1"/>
  <c r="AK9" i="7" s="1"/>
  <c r="AL9" i="7" s="1"/>
  <c r="AM9" i="7" s="1"/>
  <c r="AN9" i="7" s="1"/>
  <c r="AB10" i="7"/>
  <c r="AC10" i="7" s="1"/>
  <c r="AA24" i="7"/>
  <c r="J65" i="5" s="1"/>
  <c r="AB3" i="7"/>
  <c r="AA25" i="7"/>
  <c r="I65" i="5" s="1"/>
  <c r="AC39" i="7" l="1"/>
  <c r="AD39" i="7" s="1"/>
  <c r="AD38" i="7"/>
  <c r="AE38" i="7" s="1"/>
  <c r="AF38" i="7" s="1"/>
  <c r="AG38" i="7" s="1"/>
  <c r="AH38" i="7" s="1"/>
  <c r="AI38" i="7" s="1"/>
  <c r="AJ38" i="7" s="1"/>
  <c r="AK38" i="7" s="1"/>
  <c r="AL38" i="7" s="1"/>
  <c r="AM38" i="7" s="1"/>
  <c r="AN38" i="7" s="1"/>
  <c r="F62" i="5"/>
  <c r="H61" i="5"/>
  <c r="AC3" i="7"/>
  <c r="AB25" i="7"/>
  <c r="I66" i="5" s="1"/>
  <c r="AB24" i="7"/>
  <c r="J66" i="5" s="1"/>
  <c r="AC11" i="7"/>
  <c r="AD11" i="7" s="1"/>
  <c r="AD10" i="7"/>
  <c r="AE10" i="7" s="1"/>
  <c r="AF10" i="7" s="1"/>
  <c r="AG10" i="7" s="1"/>
  <c r="AH10" i="7" s="1"/>
  <c r="AI10" i="7" s="1"/>
  <c r="AJ10" i="7" s="1"/>
  <c r="AK10" i="7" s="1"/>
  <c r="AL10" i="7" s="1"/>
  <c r="AM10" i="7" s="1"/>
  <c r="AN10" i="7" s="1"/>
  <c r="AC12" i="7"/>
  <c r="T13" i="7"/>
  <c r="AD40" i="7" l="1"/>
  <c r="AE40" i="7" s="1"/>
  <c r="AE39" i="7"/>
  <c r="AF39" i="7" s="1"/>
  <c r="AG39" i="7" s="1"/>
  <c r="AH39" i="7" s="1"/>
  <c r="AI39" i="7" s="1"/>
  <c r="AJ39" i="7" s="1"/>
  <c r="AK39" i="7" s="1"/>
  <c r="AL39" i="7" s="1"/>
  <c r="AM39" i="7" s="1"/>
  <c r="AN39" i="7" s="1"/>
  <c r="F63" i="5"/>
  <c r="H62" i="5"/>
  <c r="AD13" i="7"/>
  <c r="T14" i="7"/>
  <c r="AD12" i="7"/>
  <c r="AE12" i="7" s="1"/>
  <c r="AE11" i="7"/>
  <c r="AF11" i="7" s="1"/>
  <c r="AG11" i="7" s="1"/>
  <c r="AH11" i="7" s="1"/>
  <c r="AI11" i="7" s="1"/>
  <c r="AJ11" i="7" s="1"/>
  <c r="AK11" i="7" s="1"/>
  <c r="AL11" i="7" s="1"/>
  <c r="AM11" i="7" s="1"/>
  <c r="AN11" i="7" s="1"/>
  <c r="AC25" i="7"/>
  <c r="I67" i="5" s="1"/>
  <c r="AC24" i="7"/>
  <c r="J67" i="5" s="1"/>
  <c r="AD3" i="7"/>
  <c r="AE41" i="7" l="1"/>
  <c r="AF41" i="7" s="1"/>
  <c r="AF40" i="7"/>
  <c r="AG40" i="7" s="1"/>
  <c r="AH40" i="7" s="1"/>
  <c r="AI40" i="7" s="1"/>
  <c r="AJ40" i="7" s="1"/>
  <c r="AK40" i="7" s="1"/>
  <c r="AL40" i="7" s="1"/>
  <c r="AM40" i="7" s="1"/>
  <c r="AN40" i="7" s="1"/>
  <c r="H63" i="5"/>
  <c r="F64" i="5"/>
  <c r="AE13" i="7"/>
  <c r="AF13" i="7" s="1"/>
  <c r="AF12" i="7"/>
  <c r="AG12" i="7" s="1"/>
  <c r="AH12" i="7" s="1"/>
  <c r="AI12" i="7" s="1"/>
  <c r="AJ12" i="7" s="1"/>
  <c r="AK12" i="7" s="1"/>
  <c r="AL12" i="7" s="1"/>
  <c r="AM12" i="7" s="1"/>
  <c r="AN12" i="7" s="1"/>
  <c r="AD25" i="7"/>
  <c r="I68" i="5" s="1"/>
  <c r="AD24" i="7"/>
  <c r="J68" i="5" s="1"/>
  <c r="AE3" i="7"/>
  <c r="AE14" i="7"/>
  <c r="T15" i="7"/>
  <c r="AG41" i="7" l="1"/>
  <c r="AH41" i="7" s="1"/>
  <c r="AI41" i="7" s="1"/>
  <c r="AJ41" i="7" s="1"/>
  <c r="AK41" i="7" s="1"/>
  <c r="AL41" i="7" s="1"/>
  <c r="AM41" i="7" s="1"/>
  <c r="AN41" i="7" s="1"/>
  <c r="AF42" i="7"/>
  <c r="AG42" i="7" s="1"/>
  <c r="AH42" i="7" s="1"/>
  <c r="AI42" i="7" s="1"/>
  <c r="AJ42" i="7" s="1"/>
  <c r="AK42" i="7" s="1"/>
  <c r="AL42" i="7" s="1"/>
  <c r="AM42" i="7" s="1"/>
  <c r="AN42" i="7" s="1"/>
  <c r="F65" i="5"/>
  <c r="H64" i="5"/>
  <c r="AF15" i="7"/>
  <c r="T16" i="7"/>
  <c r="AE24" i="7"/>
  <c r="J69" i="5" s="1"/>
  <c r="AF3" i="7"/>
  <c r="AE25" i="7"/>
  <c r="I69" i="5" s="1"/>
  <c r="AF14" i="7"/>
  <c r="AG14" i="7" s="1"/>
  <c r="AG13" i="7"/>
  <c r="AH13" i="7" s="1"/>
  <c r="AI13" i="7" s="1"/>
  <c r="AJ13" i="7" s="1"/>
  <c r="AK13" i="7" s="1"/>
  <c r="AL13" i="7" s="1"/>
  <c r="AM13" i="7" s="1"/>
  <c r="AN13" i="7" s="1"/>
  <c r="H65" i="5" l="1"/>
  <c r="F66" i="5"/>
  <c r="AH14" i="7"/>
  <c r="AI14" i="7" s="1"/>
  <c r="AJ14" i="7" s="1"/>
  <c r="AK14" i="7" s="1"/>
  <c r="AL14" i="7" s="1"/>
  <c r="AM14" i="7" s="1"/>
  <c r="AN14" i="7" s="1"/>
  <c r="AG15" i="7"/>
  <c r="AH15" i="7" s="1"/>
  <c r="AF24" i="7"/>
  <c r="J70" i="5" s="1"/>
  <c r="AG3" i="7"/>
  <c r="AF25" i="7"/>
  <c r="I70" i="5" s="1"/>
  <c r="T17" i="7"/>
  <c r="AG16" i="7"/>
  <c r="F67" i="5" l="1"/>
  <c r="H66" i="5"/>
  <c r="AH17" i="7"/>
  <c r="T18" i="7"/>
  <c r="AG25" i="7"/>
  <c r="I71" i="5" s="1"/>
  <c r="AG24" i="7"/>
  <c r="J71" i="5" s="1"/>
  <c r="AH3" i="7"/>
  <c r="AI15" i="7"/>
  <c r="AJ15" i="7" s="1"/>
  <c r="AK15" i="7" s="1"/>
  <c r="AL15" i="7" s="1"/>
  <c r="AM15" i="7" s="1"/>
  <c r="AN15" i="7" s="1"/>
  <c r="AH16" i="7"/>
  <c r="AI16" i="7" s="1"/>
  <c r="F68" i="5" l="1"/>
  <c r="H67" i="5"/>
  <c r="AI17" i="7"/>
  <c r="AJ17" i="7" s="1"/>
  <c r="AJ16" i="7"/>
  <c r="AK16" i="7" s="1"/>
  <c r="AL16" i="7" s="1"/>
  <c r="AM16" i="7" s="1"/>
  <c r="AN16" i="7" s="1"/>
  <c r="AH24" i="7"/>
  <c r="J72" i="5" s="1"/>
  <c r="AI3" i="7"/>
  <c r="AH25" i="7"/>
  <c r="I72" i="5" s="1"/>
  <c r="T19" i="7"/>
  <c r="AI18" i="7"/>
  <c r="H68" i="5" l="1"/>
  <c r="F69" i="5"/>
  <c r="AK17" i="7"/>
  <c r="AL17" i="7" s="1"/>
  <c r="AM17" i="7" s="1"/>
  <c r="AN17" i="7" s="1"/>
  <c r="AJ18" i="7"/>
  <c r="AK18" i="7" s="1"/>
  <c r="T20" i="7"/>
  <c r="AJ19" i="7"/>
  <c r="AI24" i="7"/>
  <c r="J73" i="5" s="1"/>
  <c r="AI25" i="7"/>
  <c r="I73" i="5" s="1"/>
  <c r="AJ3" i="7"/>
  <c r="F70" i="5" l="1"/>
  <c r="H69" i="5"/>
  <c r="AK19" i="7"/>
  <c r="AL19" i="7" s="1"/>
  <c r="AL18" i="7"/>
  <c r="AM18" i="7" s="1"/>
  <c r="AN18" i="7" s="1"/>
  <c r="T21" i="7"/>
  <c r="AK20" i="7"/>
  <c r="AJ24" i="7"/>
  <c r="J74" i="5" s="1"/>
  <c r="AK3" i="7"/>
  <c r="AJ25" i="7"/>
  <c r="I74" i="5" s="1"/>
  <c r="H70" i="5" l="1"/>
  <c r="F71" i="5"/>
  <c r="AL3" i="7"/>
  <c r="AK25" i="7"/>
  <c r="I75" i="5" s="1"/>
  <c r="AK24" i="7"/>
  <c r="J75" i="5" s="1"/>
  <c r="T22" i="7"/>
  <c r="AL21" i="7"/>
  <c r="AM19" i="7"/>
  <c r="AN19" i="7" s="1"/>
  <c r="AL20" i="7"/>
  <c r="AM20" i="7" s="1"/>
  <c r="H71" i="5" l="1"/>
  <c r="F72" i="5"/>
  <c r="AN20" i="7"/>
  <c r="AM21" i="7"/>
  <c r="AN21" i="7" s="1"/>
  <c r="AN22" i="7" s="1"/>
  <c r="T23" i="7"/>
  <c r="AN23" i="7" s="1"/>
  <c r="AM22" i="7"/>
  <c r="AL25" i="7"/>
  <c r="I76" i="5" s="1"/>
  <c r="AM3" i="7"/>
  <c r="AL24" i="7"/>
  <c r="J76" i="5" s="1"/>
  <c r="H72" i="5" l="1"/>
  <c r="F73" i="5"/>
  <c r="AN3" i="7"/>
  <c r="AM25" i="7"/>
  <c r="I77" i="5" s="1"/>
  <c r="AM24" i="7"/>
  <c r="J77" i="5" s="1"/>
  <c r="H73" i="5" l="1"/>
  <c r="F74" i="5"/>
  <c r="AN25" i="7"/>
  <c r="I78" i="5" s="1"/>
  <c r="AN24" i="7"/>
  <c r="J78" i="5" s="1"/>
  <c r="F75" i="5" l="1"/>
  <c r="H74" i="5"/>
  <c r="F76" i="5" l="1"/>
  <c r="H75" i="5"/>
  <c r="H76" i="5" l="1"/>
  <c r="F77" i="5"/>
  <c r="H77" i="5" l="1"/>
  <c r="F78" i="5"/>
  <c r="H78" i="5" s="1"/>
</calcChain>
</file>

<file path=xl/sharedStrings.xml><?xml version="1.0" encoding="utf-8"?>
<sst xmlns="http://schemas.openxmlformats.org/spreadsheetml/2006/main" count="120" uniqueCount="105">
  <si>
    <t>Loan Ratio</t>
    <phoneticPr fontId="7" type="noConversion"/>
  </si>
  <si>
    <t>Interest Rate</t>
    <phoneticPr fontId="7" type="noConversion"/>
  </si>
  <si>
    <t>Admin Fee Yr0</t>
    <phoneticPr fontId="7" type="noConversion"/>
  </si>
  <si>
    <t>Admin Fee Yr1</t>
    <phoneticPr fontId="7" type="noConversion"/>
  </si>
  <si>
    <t>Admin Fee Yr2</t>
  </si>
  <si>
    <t>Admin Fee Yr3</t>
  </si>
  <si>
    <t>Admin Fee Yr4</t>
  </si>
  <si>
    <t>Name of Lender</t>
    <phoneticPr fontId="7" type="noConversion"/>
  </si>
  <si>
    <t>Premium Paying Period</t>
    <phoneticPr fontId="7" type="noConversion"/>
  </si>
  <si>
    <t>Interest Spread</t>
  </si>
  <si>
    <t>Loan Setup Fee Collected over # of years</t>
    <phoneticPr fontId="7" type="noConversion"/>
  </si>
  <si>
    <t>Advance Interest Payment</t>
    <phoneticPr fontId="7" type="noConversion"/>
  </si>
  <si>
    <t>Name of Policy Holder</t>
    <phoneticPr fontId="7" type="noConversion"/>
  </si>
  <si>
    <t>AGE</t>
    <phoneticPr fontId="7" type="noConversion"/>
  </si>
  <si>
    <t>GENDER</t>
    <phoneticPr fontId="7" type="noConversion"/>
  </si>
  <si>
    <t>Product Provider</t>
    <phoneticPr fontId="7" type="noConversion"/>
  </si>
  <si>
    <t>Product Name</t>
    <phoneticPr fontId="7" type="noConversion"/>
  </si>
  <si>
    <t>Annual Premium</t>
    <phoneticPr fontId="7" type="noConversion"/>
  </si>
  <si>
    <t>Day-1 Surrender Value</t>
    <phoneticPr fontId="7" type="noConversion"/>
  </si>
  <si>
    <t>Interest Rate Scenario</t>
    <phoneticPr fontId="7" type="noConversion"/>
  </si>
  <si>
    <t>Increase</t>
    <phoneticPr fontId="7" type="noConversion"/>
  </si>
  <si>
    <t>Current</t>
    <phoneticPr fontId="7" type="noConversion"/>
  </si>
  <si>
    <t>Decrease</t>
    <phoneticPr fontId="7" type="noConversion"/>
  </si>
  <si>
    <t>1M HIBOR</t>
    <phoneticPr fontId="7" type="noConversion"/>
  </si>
  <si>
    <t>LOAN RELATED INFORMTION INPUT</t>
    <phoneticPr fontId="7" type="noConversion"/>
  </si>
  <si>
    <t>INSURANCE POLICY INPUT</t>
    <phoneticPr fontId="7" type="noConversion"/>
  </si>
  <si>
    <t>CLIENT INFORMATION INPUT</t>
    <phoneticPr fontId="7" type="noConversion"/>
  </si>
  <si>
    <t>MALE</t>
    <phoneticPr fontId="7" type="noConversion"/>
  </si>
  <si>
    <t>Indicator</t>
    <phoneticPr fontId="7" type="noConversion"/>
  </si>
  <si>
    <t>CAP rate</t>
    <phoneticPr fontId="7" type="noConversion"/>
  </si>
  <si>
    <t>yr</t>
    <phoneticPr fontId="7" type="noConversion"/>
  </si>
  <si>
    <t>mth</t>
    <phoneticPr fontId="7" type="noConversion"/>
  </si>
  <si>
    <t>Assumed 1M HIBOR</t>
    <phoneticPr fontId="7" type="noConversion"/>
  </si>
  <si>
    <t>Surrender Value</t>
    <phoneticPr fontId="7" type="noConversion"/>
  </si>
  <si>
    <t>Yr1</t>
    <phoneticPr fontId="7" type="noConversion"/>
  </si>
  <si>
    <t>Yr2</t>
    <phoneticPr fontId="7" type="noConversion"/>
  </si>
  <si>
    <t>Yr3</t>
  </si>
  <si>
    <t>Yr4</t>
  </si>
  <si>
    <t>Yr5</t>
  </si>
  <si>
    <t>Yr6</t>
  </si>
  <si>
    <t>Yr7</t>
  </si>
  <si>
    <t>Yr8</t>
  </si>
  <si>
    <t>Yr9</t>
  </si>
  <si>
    <t>Yr10</t>
  </si>
  <si>
    <t>Yr11</t>
    <phoneticPr fontId="7" type="noConversion"/>
  </si>
  <si>
    <t>Yr12</t>
    <phoneticPr fontId="7" type="noConversion"/>
  </si>
  <si>
    <t>Yr13</t>
  </si>
  <si>
    <t>Yr14</t>
  </si>
  <si>
    <t>Yr15</t>
  </si>
  <si>
    <t>Yr16</t>
  </si>
  <si>
    <t>Yr17</t>
  </si>
  <si>
    <t>Yr18</t>
  </si>
  <si>
    <t>Yr19</t>
  </si>
  <si>
    <t>Yr20</t>
  </si>
  <si>
    <t>END OF
POLICY YEAR</t>
    <phoneticPr fontId="7" type="noConversion"/>
  </si>
  <si>
    <t>TOTAL
CASH VALUE</t>
    <phoneticPr fontId="7" type="noConversion"/>
  </si>
  <si>
    <t>CASH
FLOW</t>
    <phoneticPr fontId="7" type="noConversion"/>
  </si>
  <si>
    <t>ORIGINAL</t>
    <phoneticPr fontId="7" type="noConversion"/>
  </si>
  <si>
    <t>Yr0</t>
    <phoneticPr fontId="7" type="noConversion"/>
  </si>
  <si>
    <t>PREMIUM FINANCING</t>
    <phoneticPr fontId="7" type="noConversion"/>
  </si>
  <si>
    <t>FEMALE</t>
    <phoneticPr fontId="7" type="noConversion"/>
  </si>
  <si>
    <r>
      <t xml:space="preserve">Assumed </t>
    </r>
    <r>
      <rPr>
        <sz val="6"/>
        <color theme="1"/>
        <rFont val="DengXian"/>
        <family val="2"/>
        <charset val="134"/>
      </rPr>
      <t>3</t>
    </r>
    <r>
      <rPr>
        <sz val="6"/>
        <color theme="1"/>
        <rFont val="Source Han Sans CN Normal"/>
        <family val="2"/>
        <scheme val="minor"/>
      </rPr>
      <t>M HIBOR</t>
    </r>
    <phoneticPr fontId="7" type="noConversion"/>
  </si>
  <si>
    <r>
      <t xml:space="preserve">Assumed 1M </t>
    </r>
    <r>
      <rPr>
        <sz val="6"/>
        <color theme="1"/>
        <rFont val="DengXian"/>
        <family val="2"/>
        <charset val="134"/>
      </rPr>
      <t>L</t>
    </r>
    <r>
      <rPr>
        <sz val="6"/>
        <color theme="1"/>
        <rFont val="Source Han Sans CN Normal"/>
        <family val="2"/>
        <scheme val="minor"/>
      </rPr>
      <t>IBOR</t>
    </r>
    <phoneticPr fontId="7" type="noConversion"/>
  </si>
  <si>
    <r>
      <t xml:space="preserve">Assumed </t>
    </r>
    <r>
      <rPr>
        <sz val="6"/>
        <color theme="1"/>
        <rFont val="DengXian"/>
        <family val="2"/>
        <charset val="134"/>
      </rPr>
      <t>3</t>
    </r>
    <r>
      <rPr>
        <sz val="6"/>
        <color theme="1"/>
        <rFont val="Source Han Sans CN Normal"/>
        <family val="2"/>
        <scheme val="minor"/>
      </rPr>
      <t xml:space="preserve">M </t>
    </r>
    <r>
      <rPr>
        <sz val="6"/>
        <color theme="1"/>
        <rFont val="DengXian"/>
        <family val="2"/>
        <charset val="134"/>
      </rPr>
      <t>L</t>
    </r>
    <r>
      <rPr>
        <sz val="6"/>
        <color theme="1"/>
        <rFont val="Source Han Sans CN Normal"/>
        <family val="2"/>
        <scheme val="minor"/>
      </rPr>
      <t>IBOR</t>
    </r>
    <phoneticPr fontId="7" type="noConversion"/>
  </si>
  <si>
    <t>IRR</t>
    <phoneticPr fontId="7" type="noConversion"/>
  </si>
  <si>
    <t>NA</t>
    <phoneticPr fontId="7" type="noConversion"/>
  </si>
  <si>
    <t>HPR</t>
    <phoneticPr fontId="7" type="noConversion"/>
  </si>
  <si>
    <t>Edit the INPUT cells.</t>
    <phoneticPr fontId="7" type="noConversion"/>
  </si>
  <si>
    <t>CHINA TAIPING</t>
    <phoneticPr fontId="7" type="noConversion"/>
  </si>
  <si>
    <t>盈滿世代</t>
    <phoneticPr fontId="7" type="noConversion"/>
  </si>
  <si>
    <t>Policy Currency</t>
    <phoneticPr fontId="7" type="noConversion"/>
  </si>
  <si>
    <t>USD</t>
    <phoneticPr fontId="7" type="noConversion"/>
  </si>
  <si>
    <r>
      <rPr>
        <sz val="6"/>
        <color theme="1"/>
        <rFont val="DengXian"/>
        <family val="2"/>
        <charset val="134"/>
      </rPr>
      <t>3</t>
    </r>
    <r>
      <rPr>
        <sz val="6"/>
        <color theme="1"/>
        <rFont val="Source Han Sans CN Normal"/>
        <family val="2"/>
        <scheme val="minor"/>
      </rPr>
      <t>M HIBOR</t>
    </r>
    <phoneticPr fontId="7" type="noConversion"/>
  </si>
  <si>
    <r>
      <t xml:space="preserve">1M </t>
    </r>
    <r>
      <rPr>
        <sz val="6"/>
        <color theme="1"/>
        <rFont val="DengXian"/>
        <family val="2"/>
        <charset val="134"/>
      </rPr>
      <t>L</t>
    </r>
    <r>
      <rPr>
        <sz val="6"/>
        <color theme="1"/>
        <rFont val="Source Han Sans CN Normal"/>
        <family val="2"/>
        <scheme val="minor"/>
      </rPr>
      <t>IBOR</t>
    </r>
    <phoneticPr fontId="7" type="noConversion"/>
  </si>
  <si>
    <r>
      <rPr>
        <sz val="6"/>
        <color theme="1"/>
        <rFont val="DengXian"/>
        <family val="2"/>
        <charset val="134"/>
      </rPr>
      <t>3</t>
    </r>
    <r>
      <rPr>
        <sz val="6"/>
        <color theme="1"/>
        <rFont val="Source Han Sans CN Normal"/>
        <family val="2"/>
        <scheme val="minor"/>
      </rPr>
      <t xml:space="preserve">M </t>
    </r>
    <r>
      <rPr>
        <sz val="6"/>
        <color theme="1"/>
        <rFont val="DengXian"/>
        <family val="2"/>
        <charset val="134"/>
      </rPr>
      <t>L</t>
    </r>
    <r>
      <rPr>
        <sz val="6"/>
        <color theme="1"/>
        <rFont val="Source Han Sans CN Normal"/>
        <family val="2"/>
        <scheme val="minor"/>
      </rPr>
      <t>IBOR</t>
    </r>
    <phoneticPr fontId="7" type="noConversion"/>
  </si>
  <si>
    <t>HKD</t>
    <phoneticPr fontId="7" type="noConversion"/>
  </si>
  <si>
    <t>Hiding Information Options</t>
    <phoneticPr fontId="7" type="noConversion"/>
  </si>
  <si>
    <t>Lender's Related</t>
    <phoneticPr fontId="7" type="noConversion"/>
  </si>
  <si>
    <t>Product Provider Related</t>
    <phoneticPr fontId="7" type="noConversion"/>
  </si>
  <si>
    <t>Client's Personal Information</t>
    <phoneticPr fontId="7" type="noConversion"/>
  </si>
  <si>
    <t>Hide</t>
  </si>
  <si>
    <t>Hide</t>
    <phoneticPr fontId="7" type="noConversion"/>
  </si>
  <si>
    <t>Unhide</t>
    <phoneticPr fontId="7" type="noConversion"/>
  </si>
  <si>
    <t>Leung Wing Shan</t>
    <phoneticPr fontId="7" type="noConversion"/>
  </si>
  <si>
    <t>********</t>
    <phoneticPr fontId="7" type="noConversion"/>
  </si>
  <si>
    <t>Assumed 1M HIBOR</t>
  </si>
  <si>
    <t>1M HIBOR</t>
  </si>
  <si>
    <t xml:space="preserve">The information on this material is for reference and information only. Whilst the ZUU Digital Financial Services Limited (“ZUU”) endeavours to ensure the accuracy of the information on this material, no express or implied warranty is given by the ZUU as to the accuracy or completeness of the information. The ZUU shall not be liable for any loss or damage, whether or not arising from any inaccuracy or omission or from any decision, action or non-action based on or in reliance upon information contained on this material howsoever arising from using or in reliance upon the whole or any part of the information on this material. </t>
  </si>
  <si>
    <t>Death Benefit</t>
    <phoneticPr fontId="7" type="noConversion"/>
  </si>
  <si>
    <t>Guarantee Value</t>
    <phoneticPr fontId="7" type="noConversion"/>
  </si>
  <si>
    <t>Discount</t>
    <phoneticPr fontId="7" type="noConversion"/>
  </si>
  <si>
    <t>Yr25</t>
    <phoneticPr fontId="7" type="noConversion"/>
  </si>
  <si>
    <t>Yr30</t>
    <phoneticPr fontId="7" type="noConversion"/>
  </si>
  <si>
    <t>Yr35</t>
    <phoneticPr fontId="7" type="noConversion"/>
  </si>
  <si>
    <t>Yr40</t>
    <phoneticPr fontId="7" type="noConversion"/>
  </si>
  <si>
    <t>Yr45</t>
    <phoneticPr fontId="7" type="noConversion"/>
  </si>
  <si>
    <t>Yr50</t>
    <phoneticPr fontId="7" type="noConversion"/>
  </si>
  <si>
    <t>ABC</t>
    <phoneticPr fontId="7" type="noConversion"/>
  </si>
  <si>
    <t>MALE</t>
  </si>
  <si>
    <t>USD</t>
  </si>
  <si>
    <t>Language</t>
    <phoneticPr fontId="7" type="noConversion"/>
  </si>
  <si>
    <t>ENG</t>
    <phoneticPr fontId="7" type="noConversion"/>
  </si>
  <si>
    <t>简体中文</t>
  </si>
  <si>
    <t>简体中文</t>
    <phoneticPr fontId="7" type="noConversion"/>
  </si>
  <si>
    <t>v.6.21062022</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</si>
</sst>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quot;$&quot;* #,##0.00_-;_-&quot;$&quot;* &quot;-&quot;??_-;_-@_-"/>
    <numFmt numFmtId="176" formatCode="_-[$$-409]* #,##0.00_ ;_-[$$-409]* \-#,##0.00\ ;_-[$$-409]* &quot;-&quot;??_ ;_-@_ "/>
    <numFmt numFmtId="177" formatCode="_-[$$-409]* #,##0_ ;_-[$$-409]* \-#,##0\ ;_-[$$-409]* &quot;-&quot;??_ ;_-@_ "/>
    <numFmt numFmtId="178" formatCode="[$-13C09]d\ mmmm\ yyyy;@"/>
    <numFmt numFmtId="179" formatCode="0.00_);[Red]\(0.00\)"/>
    <numFmt numFmtId="180" formatCode="0_);[Red]\(0\)"/>
    <numFmt numFmtId="181" formatCode="&quot;$&quot;#,##0.00_);[Red]\(&quot;$&quot;#,##0.00\)"/>
    <numFmt numFmtId="182" formatCode="#,##0_);\(#,##0\)"/>
  </numFmts>
  <fonts count="42">
    <font>
      <sz val="11"/>
      <color theme="1"/>
      <name val="Source Han Sans CN Normal"/>
      <family val="2"/>
      <scheme val="minor"/>
    </font>
    <font>
      <b/>
      <sz val="18"/>
      <color rgb="FF002060"/>
      <name val="Maven Pro"/>
    </font>
    <font>
      <sz val="14"/>
      <color rgb="FFB70095"/>
      <name val="Open Sans"/>
      <family val="2"/>
    </font>
    <font>
      <sz val="11"/>
      <color theme="1"/>
      <name val="Source Han Sans CN Normal"/>
      <family val="2"/>
      <scheme val="minor"/>
    </font>
    <font>
      <sz val="11"/>
      <color rgb="FF3F3F76"/>
      <name val="Source Han Sans CN Normal"/>
      <family val="2"/>
      <charset val="134"/>
      <scheme val="minor"/>
    </font>
    <font>
      <i/>
      <sz val="11"/>
      <color rgb="FF7F7F7F"/>
      <name val="Source Han Sans CN Normal"/>
      <family val="2"/>
      <charset val="134"/>
      <scheme val="minor"/>
    </font>
    <font>
      <sz val="11"/>
      <color theme="1"/>
      <name val="Source Han Sans CN Normal"/>
      <family val="2"/>
      <charset val="134"/>
      <scheme val="minor"/>
    </font>
    <font>
      <sz val="9"/>
      <name val="Source Han Sans CN Normal"/>
      <family val="3"/>
      <charset val="134"/>
      <scheme val="minor"/>
    </font>
    <font>
      <sz val="6"/>
      <color theme="1"/>
      <name val="Source Han Sans CN Normal"/>
      <family val="2"/>
      <scheme val="minor"/>
    </font>
    <font>
      <sz val="11"/>
      <color theme="1"/>
      <name val="Open Sans"/>
      <family val="2"/>
    </font>
    <font>
      <sz val="11"/>
      <color rgb="FF3F3F76"/>
      <name val="SimSun"/>
      <family val="2"/>
      <charset val="134"/>
    </font>
    <font>
      <sz val="9"/>
      <color theme="1"/>
      <name val="Source Han Sans CN Normal"/>
      <family val="2"/>
      <scheme val="minor"/>
    </font>
    <font>
      <sz val="11"/>
      <color rgb="FF3F3F76"/>
      <name val="Open Sans"/>
      <family val="2"/>
    </font>
    <font>
      <sz val="8"/>
      <color theme="1"/>
      <name val="Open Sans"/>
      <family val="2"/>
    </font>
    <font>
      <sz val="6"/>
      <color theme="1"/>
      <name val="Open Sans"/>
      <family val="2"/>
    </font>
    <font>
      <sz val="9"/>
      <color theme="1"/>
      <name val="Open Sans"/>
      <family val="2"/>
    </font>
    <font>
      <sz val="10"/>
      <color rgb="FFB70095"/>
      <name val="Open Sans"/>
      <family val="2"/>
    </font>
    <font>
      <sz val="10"/>
      <color theme="1"/>
      <name val="Open Sans"/>
      <family val="2"/>
    </font>
    <font>
      <b/>
      <sz val="16"/>
      <color rgb="FF002060"/>
      <name val="Maven Pro"/>
    </font>
    <font>
      <sz val="16"/>
      <color theme="1"/>
      <name val="Source Han Sans CN Normal"/>
      <family val="2"/>
      <scheme val="minor"/>
    </font>
    <font>
      <b/>
      <sz val="18"/>
      <color rgb="FF002060"/>
      <name val="Maven Pro"/>
      <family val="2"/>
    </font>
    <font>
      <sz val="11"/>
      <color theme="1"/>
      <name val="Maven Pro"/>
      <family val="2"/>
    </font>
    <font>
      <sz val="6"/>
      <color theme="1"/>
      <name val="DengXian"/>
      <family val="2"/>
      <charset val="134"/>
    </font>
    <font>
      <i/>
      <sz val="6"/>
      <color rgb="FF7F7F7F"/>
      <name val="Source Han Sans CN Normal"/>
      <family val="2"/>
      <scheme val="minor"/>
    </font>
    <font>
      <b/>
      <i/>
      <u/>
      <sz val="8"/>
      <color rgb="FF7F7F7F"/>
      <name val="Source Han Sans CN Normal"/>
      <family val="2"/>
      <charset val="128"/>
      <scheme val="minor"/>
    </font>
    <font>
      <b/>
      <sz val="8"/>
      <color theme="1"/>
      <name val="Maven Pro"/>
    </font>
    <font>
      <b/>
      <sz val="8"/>
      <color theme="1"/>
      <name val="Maven Pro"/>
      <family val="2"/>
    </font>
    <font>
      <b/>
      <sz val="12"/>
      <color theme="1"/>
      <name val="Maven Pro"/>
    </font>
    <font>
      <b/>
      <sz val="12"/>
      <color theme="1"/>
      <name val="Maven Pro"/>
      <family val="2"/>
    </font>
    <font>
      <sz val="6"/>
      <color theme="1"/>
      <name val="Source Han Sans CN Normal"/>
      <family val="2"/>
      <charset val="134"/>
      <scheme val="minor"/>
    </font>
    <font>
      <sz val="9"/>
      <color rgb="FFB70095"/>
      <name val="Open Sans"/>
      <family val="2"/>
    </font>
    <font>
      <sz val="9"/>
      <color theme="1"/>
      <name val="DengXian"/>
      <family val="2"/>
      <charset val="134"/>
    </font>
    <font>
      <sz val="11"/>
      <color rgb="FF3F3F76"/>
      <name val="Microsoft YaHei"/>
      <family val="2"/>
      <charset val="134"/>
    </font>
    <font>
      <b/>
      <sz val="9"/>
      <color theme="0"/>
      <name val="Maven Pro"/>
    </font>
    <font>
      <sz val="9"/>
      <color theme="0"/>
      <name val="Open Sans"/>
      <family val="2"/>
    </font>
    <font>
      <b/>
      <sz val="9"/>
      <color theme="0"/>
      <name val="Open Sans"/>
      <family val="2"/>
    </font>
    <font>
      <sz val="6"/>
      <color rgb="FF3F3F76"/>
      <name val="DengXian"/>
      <family val="3"/>
      <charset val="134"/>
    </font>
    <font>
      <sz val="6"/>
      <color rgb="FF3F3F76"/>
      <name val="Source Han Sans CN Normal"/>
      <family val="2"/>
      <charset val="134"/>
      <scheme val="minor"/>
    </font>
    <font>
      <b/>
      <sz val="11"/>
      <color rgb="FF3F3F3F"/>
      <name val="Source Han Sans CN Normal"/>
      <family val="2"/>
      <charset val="134"/>
      <scheme val="minor"/>
    </font>
    <font>
      <b/>
      <sz val="11"/>
      <color theme="0"/>
      <name val="Source Han Sans CN Normal"/>
      <family val="2"/>
      <charset val="134"/>
      <scheme val="minor"/>
    </font>
    <font>
      <sz val="11"/>
      <color theme="1"/>
      <name val="FZShuTi"/>
      <family val="2"/>
      <charset val="134"/>
    </font>
    <font>
      <sz val="6"/>
      <color theme="1"/>
      <name val="FZShuTi"/>
      <family val="3"/>
      <charset val="134"/>
    </font>
  </fonts>
  <fills count="8">
    <fill>
      <patternFill patternType="none"/>
    </fill>
    <fill>
      <patternFill patternType="gray125"/>
    </fill>
    <fill>
      <patternFill patternType="solid">
        <fgColor rgb="FFFFCC99"/>
      </patternFill>
    </fill>
    <fill>
      <patternFill patternType="solid">
        <fgColor theme="4" tint="0.79998168889431442"/>
        <bgColor indexed="65"/>
      </patternFill>
    </fill>
    <fill>
      <patternFill patternType="solid">
        <fgColor theme="4" tint="0.59999389629810485"/>
        <bgColor indexed="65"/>
      </patternFill>
    </fill>
    <fill>
      <patternFill patternType="solid">
        <fgColor theme="6" tint="0.79998168889431442"/>
        <bgColor indexed="65"/>
      </patternFill>
    </fill>
    <fill>
      <patternFill patternType="solid">
        <fgColor rgb="FF660099"/>
        <bgColor indexed="64"/>
      </patternFill>
    </fill>
    <fill>
      <patternFill patternType="solid">
        <fgColor rgb="FFF2F2F2"/>
      </patternFill>
    </fill>
  </fills>
  <borders count="7">
    <border>
      <left/>
      <right/>
      <top/>
      <bottom/>
      <diagonal/>
    </border>
    <border>
      <left style="thin">
        <color rgb="FF7F7F7F"/>
      </left>
      <right style="thin">
        <color rgb="FF7F7F7F"/>
      </right>
      <top style="thin">
        <color rgb="FF7F7F7F"/>
      </top>
      <bottom style="thin">
        <color rgb="FF7F7F7F"/>
      </bottom>
      <diagonal/>
    </border>
    <border>
      <left/>
      <right style="thin">
        <color rgb="FF7F7F7F"/>
      </right>
      <top/>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9">
    <xf numFmtId="0" fontId="0" fillId="0" borderId="0"/>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0" fontId="4" fillId="2" borderId="1" applyNumberFormat="0" applyAlignment="0" applyProtection="0">
      <alignment vertical="center"/>
    </xf>
    <xf numFmtId="0" fontId="5" fillId="0" borderId="0" applyNumberFormat="0" applyFill="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38" fillId="7" borderId="6" applyNumberFormat="0" applyAlignment="0" applyProtection="0">
      <alignment vertical="center"/>
    </xf>
  </cellStyleXfs>
  <cellXfs count="114">
    <xf numFmtId="0" fontId="0" fillId="0" borderId="0" xfId="0"/>
    <xf numFmtId="0" fontId="0" fillId="0" borderId="0" xfId="0" applyAlignment="1">
      <alignment horizontal="center"/>
    </xf>
    <xf numFmtId="0" fontId="2" fillId="0" borderId="0" xfId="0" applyFont="1" applyAlignment="1">
      <alignment vertical="center"/>
    </xf>
    <xf numFmtId="0" fontId="1" fillId="0" borderId="0" xfId="0" applyFont="1" applyAlignment="1">
      <alignment horizontal="left" vertical="center"/>
    </xf>
    <xf numFmtId="0" fontId="9" fillId="0" borderId="0" xfId="0" applyFont="1"/>
    <xf numFmtId="0" fontId="9" fillId="0" borderId="0" xfId="0" applyFont="1" applyAlignment="1">
      <alignment horizontal="center"/>
    </xf>
    <xf numFmtId="0" fontId="13" fillId="0" borderId="0" xfId="0" applyFont="1" applyAlignment="1">
      <alignment horizontal="center"/>
    </xf>
    <xf numFmtId="0" fontId="13" fillId="0" borderId="0" xfId="0" applyFont="1"/>
    <xf numFmtId="0" fontId="8" fillId="0" borderId="0" xfId="0" applyFont="1"/>
    <xf numFmtId="0" fontId="14" fillId="0" borderId="0" xfId="0" applyFont="1"/>
    <xf numFmtId="0" fontId="13" fillId="0" borderId="0" xfId="0" applyFont="1" applyAlignment="1">
      <alignment horizontal="left"/>
    </xf>
    <xf numFmtId="0" fontId="15" fillId="0" borderId="0" xfId="0" applyFont="1"/>
    <xf numFmtId="0" fontId="15" fillId="0" borderId="0" xfId="0" applyFont="1" applyAlignment="1">
      <alignment horizontal="center"/>
    </xf>
    <xf numFmtId="0" fontId="17" fillId="0" borderId="0" xfId="0" applyFont="1"/>
    <xf numFmtId="0" fontId="17" fillId="0" borderId="0" xfId="0" applyFont="1" applyAlignment="1">
      <alignment horizontal="right"/>
    </xf>
    <xf numFmtId="0" fontId="18" fillId="0" borderId="0" xfId="0" applyFont="1" applyAlignment="1">
      <alignment vertical="center"/>
    </xf>
    <xf numFmtId="0" fontId="19" fillId="0" borderId="0" xfId="0" applyFont="1"/>
    <xf numFmtId="0" fontId="9" fillId="0" borderId="0" xfId="0" applyFont="1" applyAlignment="1"/>
    <xf numFmtId="0" fontId="20" fillId="0" borderId="0" xfId="0" applyFont="1" applyAlignment="1">
      <alignment vertical="center"/>
    </xf>
    <xf numFmtId="0" fontId="21" fillId="0" borderId="0" xfId="0" applyFont="1"/>
    <xf numFmtId="0" fontId="11" fillId="0" borderId="0" xfId="0" applyFont="1" applyAlignment="1">
      <alignment horizontal="right"/>
    </xf>
    <xf numFmtId="10" fontId="11" fillId="0" borderId="0" xfId="0" quotePrefix="1" applyNumberFormat="1" applyFont="1"/>
    <xf numFmtId="10" fontId="11" fillId="0" borderId="0" xfId="0" quotePrefix="1" applyNumberFormat="1" applyFont="1" applyAlignment="1">
      <alignment horizontal="left"/>
    </xf>
    <xf numFmtId="0" fontId="23" fillId="0" borderId="0" xfId="4" applyFont="1" applyAlignment="1"/>
    <xf numFmtId="10" fontId="23" fillId="0" borderId="0" xfId="2" applyNumberFormat="1" applyFont="1" applyAlignment="1"/>
    <xf numFmtId="0" fontId="13" fillId="0" borderId="0" xfId="0" applyFont="1" applyAlignment="1">
      <alignment horizontal="center" vertical="center"/>
    </xf>
    <xf numFmtId="180" fontId="13" fillId="0" borderId="0" xfId="0" applyNumberFormat="1" applyFont="1" applyAlignment="1">
      <alignment horizontal="center" vertical="center"/>
    </xf>
    <xf numFmtId="10" fontId="13" fillId="0" borderId="0" xfId="0" applyNumberFormat="1" applyFont="1" applyAlignment="1">
      <alignment horizontal="center" vertical="center"/>
    </xf>
    <xf numFmtId="0" fontId="25" fillId="0" borderId="0" xfId="0" applyFont="1" applyAlignment="1">
      <alignment horizontal="center" vertical="center"/>
    </xf>
    <xf numFmtId="0" fontId="26" fillId="0" borderId="0" xfId="0" applyFont="1" applyAlignment="1">
      <alignment horizontal="center" vertical="center"/>
    </xf>
    <xf numFmtId="0" fontId="26" fillId="0" borderId="0" xfId="0" applyFont="1" applyAlignment="1">
      <alignment horizontal="center" vertical="center" wrapText="1"/>
    </xf>
    <xf numFmtId="178" fontId="13" fillId="0" borderId="0" xfId="0" applyNumberFormat="1" applyFont="1" applyAlignment="1">
      <alignment horizontal="left"/>
    </xf>
    <xf numFmtId="178" fontId="13" fillId="0" borderId="0" xfId="0" applyNumberFormat="1" applyFont="1" applyAlignment="1"/>
    <xf numFmtId="0" fontId="9" fillId="0" borderId="2" xfId="0" applyFont="1" applyBorder="1" applyAlignment="1"/>
    <xf numFmtId="0" fontId="17" fillId="0" borderId="0" xfId="0" applyFont="1" applyAlignment="1"/>
    <xf numFmtId="0" fontId="17" fillId="0" borderId="2" xfId="0" applyFont="1" applyBorder="1" applyAlignment="1"/>
    <xf numFmtId="0" fontId="29" fillId="0" borderId="0" xfId="0" applyFont="1"/>
    <xf numFmtId="0" fontId="30" fillId="0" borderId="0" xfId="0" applyFont="1" applyAlignment="1">
      <alignment vertical="center"/>
    </xf>
    <xf numFmtId="0" fontId="11" fillId="0" borderId="0" xfId="0" applyFont="1"/>
    <xf numFmtId="177" fontId="15" fillId="0" borderId="0" xfId="0" applyNumberFormat="1" applyFont="1"/>
    <xf numFmtId="0" fontId="15" fillId="0" borderId="0" xfId="0" applyFont="1" applyAlignment="1">
      <alignment horizontal="left"/>
    </xf>
    <xf numFmtId="176" fontId="15" fillId="0" borderId="0" xfId="0" applyNumberFormat="1" applyFont="1"/>
    <xf numFmtId="44" fontId="11" fillId="0" borderId="0" xfId="1" applyFont="1" applyAlignment="1"/>
    <xf numFmtId="0" fontId="11" fillId="0" borderId="0" xfId="0" applyFont="1" applyAlignment="1">
      <alignment horizontal="right"/>
    </xf>
    <xf numFmtId="0" fontId="15" fillId="0" borderId="0" xfId="0" applyFont="1" applyAlignment="1">
      <alignment horizontal="left"/>
    </xf>
    <xf numFmtId="182" fontId="13" fillId="0" borderId="0" xfId="0" applyNumberFormat="1" applyFont="1" applyAlignment="1">
      <alignment horizontal="center" vertical="center"/>
    </xf>
    <xf numFmtId="9" fontId="13" fillId="0" borderId="0" xfId="2" applyFont="1" applyAlignment="1">
      <alignment horizontal="center" vertical="center"/>
    </xf>
    <xf numFmtId="0" fontId="33" fillId="6" borderId="0" xfId="5" applyFont="1" applyFill="1" applyAlignment="1"/>
    <xf numFmtId="0" fontId="34" fillId="6" borderId="0" xfId="5" applyFont="1" applyFill="1" applyAlignment="1">
      <alignment horizontal="center"/>
    </xf>
    <xf numFmtId="0" fontId="34" fillId="6" borderId="0" xfId="5" applyFont="1" applyFill="1" applyAlignment="1"/>
    <xf numFmtId="0" fontId="34" fillId="6" borderId="0" xfId="0" applyFont="1" applyFill="1"/>
    <xf numFmtId="0" fontId="33" fillId="6" borderId="0" xfId="6" applyFont="1" applyFill="1" applyAlignment="1"/>
    <xf numFmtId="0" fontId="34" fillId="6" borderId="0" xfId="6" applyFont="1" applyFill="1" applyAlignment="1">
      <alignment horizontal="center"/>
    </xf>
    <xf numFmtId="0" fontId="0" fillId="0" borderId="0" xfId="0"/>
    <xf numFmtId="0" fontId="0" fillId="0" borderId="0" xfId="0"/>
    <xf numFmtId="3" fontId="36" fillId="2" borderId="1" xfId="3" applyNumberFormat="1" applyFont="1" applyAlignment="1">
      <alignment horizontal="center"/>
    </xf>
    <xf numFmtId="9" fontId="13" fillId="0" borderId="0" xfId="2" applyNumberFormat="1" applyFont="1" applyAlignment="1">
      <alignment horizontal="center" vertical="center"/>
    </xf>
    <xf numFmtId="0" fontId="9" fillId="0" borderId="0" xfId="0" applyFont="1" applyAlignment="1">
      <alignment horizontal="left"/>
    </xf>
    <xf numFmtId="0" fontId="13" fillId="0" borderId="0" xfId="0" applyFont="1" applyAlignment="1">
      <alignment horizontal="left" wrapText="1"/>
    </xf>
    <xf numFmtId="0" fontId="4" fillId="2" borderId="1" xfId="3" applyAlignment="1"/>
    <xf numFmtId="0" fontId="37" fillId="2" borderId="1" xfId="3" applyFont="1" applyAlignment="1"/>
    <xf numFmtId="0" fontId="32" fillId="2" borderId="1" xfId="3" applyFont="1" applyAlignment="1"/>
    <xf numFmtId="0" fontId="39" fillId="0" borderId="0" xfId="8" applyFont="1" applyFill="1" applyBorder="1" applyAlignment="1"/>
    <xf numFmtId="0" fontId="15" fillId="0" borderId="0" xfId="0" applyFont="1" applyAlignment="1">
      <alignment horizontal="left"/>
    </xf>
    <xf numFmtId="10" fontId="12" fillId="2" borderId="3" xfId="3" applyNumberFormat="1" applyFont="1" applyBorder="1" applyAlignment="1" applyProtection="1">
      <alignment horizontal="center"/>
      <protection locked="0"/>
    </xf>
    <xf numFmtId="10" fontId="12" fillId="2" borderId="4" xfId="3" applyNumberFormat="1" applyFont="1" applyBorder="1" applyAlignment="1" applyProtection="1">
      <alignment horizontal="center"/>
      <protection locked="0"/>
    </xf>
    <xf numFmtId="10" fontId="12" fillId="2" borderId="5" xfId="3" applyNumberFormat="1" applyFont="1" applyBorder="1" applyAlignment="1" applyProtection="1">
      <alignment horizontal="center"/>
      <protection locked="0"/>
    </xf>
    <xf numFmtId="0" fontId="1" fillId="0" borderId="0" xfId="0" applyFont="1" applyAlignment="1">
      <alignment horizontal="left" vertical="center"/>
    </xf>
    <xf numFmtId="0" fontId="2" fillId="0" borderId="0" xfId="0" applyFont="1" applyAlignment="1">
      <alignment horizontal="left" vertical="center"/>
    </xf>
    <xf numFmtId="0" fontId="10" fillId="2" borderId="1" xfId="3" applyFont="1" applyAlignment="1" applyProtection="1">
      <alignment horizontal="center"/>
      <protection locked="0"/>
    </xf>
    <xf numFmtId="0" fontId="4" fillId="2" borderId="1" xfId="3" applyAlignment="1" applyProtection="1">
      <alignment horizontal="center"/>
      <protection locked="0"/>
    </xf>
    <xf numFmtId="0" fontId="12" fillId="2" borderId="1" xfId="3" applyFont="1" applyAlignment="1" applyProtection="1">
      <alignment horizontal="center"/>
      <protection locked="0"/>
    </xf>
    <xf numFmtId="0" fontId="32" fillId="2" borderId="1" xfId="3" applyFont="1" applyAlignment="1" applyProtection="1">
      <alignment horizontal="center"/>
      <protection locked="0"/>
    </xf>
    <xf numFmtId="179" fontId="12" fillId="2" borderId="3" xfId="3" applyNumberFormat="1" applyFont="1" applyBorder="1" applyAlignment="1" applyProtection="1">
      <alignment horizontal="center"/>
      <protection locked="0"/>
    </xf>
    <xf numFmtId="179" fontId="12" fillId="2" borderId="4" xfId="3" applyNumberFormat="1" applyFont="1" applyBorder="1" applyAlignment="1" applyProtection="1">
      <alignment horizontal="center"/>
      <protection locked="0"/>
    </xf>
    <xf numFmtId="179" fontId="12" fillId="2" borderId="5" xfId="3" applyNumberFormat="1" applyFont="1" applyBorder="1" applyAlignment="1" applyProtection="1">
      <alignment horizontal="center"/>
      <protection locked="0"/>
    </xf>
    <xf numFmtId="10" fontId="12" fillId="2" borderId="1" xfId="3" applyNumberFormat="1" applyFont="1" applyAlignment="1" applyProtection="1">
      <alignment horizontal="center"/>
      <protection locked="0"/>
    </xf>
    <xf numFmtId="0" fontId="24" fillId="0" borderId="0" xfId="4" applyFont="1" applyAlignment="1"/>
    <xf numFmtId="0" fontId="10" fillId="2" borderId="3" xfId="3" applyFont="1" applyBorder="1" applyAlignment="1" applyProtection="1">
      <alignment horizontal="center"/>
      <protection locked="0"/>
    </xf>
    <xf numFmtId="0" fontId="10" fillId="2" borderId="4" xfId="3" applyFont="1" applyBorder="1" applyAlignment="1" applyProtection="1">
      <alignment horizontal="center"/>
      <protection locked="0"/>
    </xf>
    <xf numFmtId="0" fontId="10" fillId="2" borderId="5" xfId="3" applyFont="1" applyBorder="1" applyAlignment="1" applyProtection="1">
      <alignment horizontal="center"/>
      <protection locked="0"/>
    </xf>
    <xf numFmtId="0" fontId="0" fillId="0" borderId="0" xfId="0"/>
    <xf numFmtId="0" fontId="4" fillId="2" borderId="1" xfId="3" applyAlignment="1">
      <alignment horizontal="center"/>
    </xf>
    <xf numFmtId="0" fontId="4" fillId="2" borderId="3" xfId="3" applyBorder="1" applyAlignment="1">
      <alignment horizontal="center"/>
    </xf>
    <xf numFmtId="0" fontId="4" fillId="2" borderId="4" xfId="3" applyBorder="1" applyAlignment="1">
      <alignment horizontal="center"/>
    </xf>
    <xf numFmtId="0" fontId="4" fillId="2" borderId="5" xfId="3" applyBorder="1" applyAlignment="1">
      <alignment horizontal="center"/>
    </xf>
    <xf numFmtId="10" fontId="10" fillId="2" borderId="1" xfId="3" quotePrefix="1" applyNumberFormat="1" applyFont="1" applyAlignment="1" applyProtection="1">
      <alignment horizontal="center"/>
      <protection locked="0"/>
    </xf>
    <xf numFmtId="0" fontId="4" fillId="2" borderId="3" xfId="3" applyBorder="1" applyAlignment="1" applyProtection="1">
      <alignment horizontal="center"/>
      <protection locked="0"/>
    </xf>
    <xf numFmtId="0" fontId="4" fillId="2" borderId="4" xfId="3" applyBorder="1" applyAlignment="1" applyProtection="1">
      <alignment horizontal="center"/>
      <protection locked="0"/>
    </xf>
    <xf numFmtId="0" fontId="4" fillId="2" borderId="5" xfId="3" applyBorder="1" applyAlignment="1" applyProtection="1">
      <alignment horizontal="center"/>
      <protection locked="0"/>
    </xf>
    <xf numFmtId="10" fontId="11" fillId="0" borderId="0" xfId="2" applyNumberFormat="1" applyFont="1" applyAlignment="1">
      <alignment horizontal="right"/>
    </xf>
    <xf numFmtId="0" fontId="11" fillId="0" borderId="0" xfId="0" applyFont="1" applyAlignment="1">
      <alignment horizontal="right"/>
    </xf>
    <xf numFmtId="181" fontId="11" fillId="0" borderId="0" xfId="1" applyNumberFormat="1" applyFont="1" applyAlignment="1">
      <alignment horizontal="right"/>
    </xf>
    <xf numFmtId="10" fontId="31" fillId="0" borderId="0" xfId="2" applyNumberFormat="1" applyFont="1" applyAlignment="1">
      <alignment horizontal="right"/>
    </xf>
    <xf numFmtId="0" fontId="20" fillId="0" borderId="0" xfId="0" applyFont="1" applyAlignment="1">
      <alignment horizontal="left" vertical="center"/>
    </xf>
    <xf numFmtId="0" fontId="30" fillId="0" borderId="0" xfId="0" applyFont="1" applyAlignment="1">
      <alignment horizontal="left" vertical="center"/>
    </xf>
    <xf numFmtId="178" fontId="15" fillId="0" borderId="0" xfId="0" applyNumberFormat="1" applyFont="1" applyAlignment="1">
      <alignment horizontal="left"/>
    </xf>
    <xf numFmtId="0" fontId="15" fillId="0" borderId="0" xfId="0" applyFont="1" applyAlignment="1">
      <alignment horizontal="left"/>
    </xf>
    <xf numFmtId="181" fontId="11" fillId="0" borderId="0" xfId="0" applyNumberFormat="1" applyFont="1" applyAlignment="1">
      <alignment horizontal="right"/>
    </xf>
    <xf numFmtId="0" fontId="11" fillId="0" borderId="0" xfId="0" applyFont="1" applyAlignment="1">
      <alignment horizontal="left"/>
    </xf>
    <xf numFmtId="10" fontId="11" fillId="0" borderId="0" xfId="2" applyNumberFormat="1" applyFont="1" applyAlignment="1"/>
    <xf numFmtId="0" fontId="11" fillId="0" borderId="0" xfId="0" applyFont="1" applyAlignment="1">
      <alignment horizontal="center"/>
    </xf>
    <xf numFmtId="0" fontId="15" fillId="0" borderId="0" xfId="0" applyFont="1" applyAlignment="1">
      <alignment horizontal="center"/>
    </xf>
    <xf numFmtId="0" fontId="11" fillId="0" borderId="0" xfId="0" applyFont="1"/>
    <xf numFmtId="0" fontId="27" fillId="0" borderId="0" xfId="0" applyFont="1" applyAlignment="1">
      <alignment horizontal="center"/>
    </xf>
    <xf numFmtId="0" fontId="28" fillId="0" borderId="0" xfId="0" applyFont="1" applyAlignment="1">
      <alignment horizontal="center"/>
    </xf>
    <xf numFmtId="0" fontId="29" fillId="5" borderId="0" xfId="7" applyFont="1" applyAlignment="1">
      <alignment horizontal="left" vertical="center" wrapText="1"/>
    </xf>
    <xf numFmtId="0" fontId="16" fillId="0" borderId="0" xfId="0" applyFont="1" applyAlignment="1">
      <alignment horizontal="left" vertical="center"/>
    </xf>
    <xf numFmtId="44" fontId="11" fillId="0" borderId="0" xfId="1" applyFont="1" applyAlignment="1"/>
    <xf numFmtId="177" fontId="35" fillId="6" borderId="0" xfId="6" applyNumberFormat="1" applyFont="1" applyFill="1" applyAlignment="1">
      <alignment horizontal="center"/>
    </xf>
    <xf numFmtId="0" fontId="35" fillId="6" borderId="0" xfId="6" applyFont="1" applyFill="1" applyAlignment="1">
      <alignment horizontal="center"/>
    </xf>
    <xf numFmtId="181" fontId="11" fillId="0" borderId="0" xfId="1" applyNumberFormat="1" applyFont="1" applyAlignment="1"/>
    <xf numFmtId="0" fontId="40" fillId="0" borderId="0" xfId="0" applyFont="1"/>
    <xf numFmtId="0" fontId="41" fillId="0" borderId="0" xfId="0" applyFont="1"/>
  </cellXfs>
  <cellStyles count="9">
    <cellStyle name="20% - Accent1" xfId="5" builtinId="30"/>
    <cellStyle name="20% - Accent3" xfId="7" builtinId="38"/>
    <cellStyle name="40% - Accent1" xfId="6" builtinId="31"/>
    <cellStyle name="Currency" xfId="1" builtinId="4"/>
    <cellStyle name="Explanatory Text" xfId="4" builtinId="53"/>
    <cellStyle name="Input" xfId="3" builtinId="20"/>
    <cellStyle name="Normal" xfId="0" builtinId="0"/>
    <cellStyle name="Output" xfId="8" builtinId="21"/>
    <cellStyle name="Percent" xfId="2" builtinId="5"/>
  </cellStyles>
  <dxfs count="0"/>
  <tableStyles count="0" defaultTableStyle="TableStyleMedium2" defaultPivotStyle="PivotStyleLight16"/>
  <colors>
    <mruColors>
      <color rgb="FF660099"/>
      <color rgb="FF2B187C"/>
      <color rgb="FFB700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Zuu">
      <a:majorFont>
        <a:latin typeface="Maven Pro"/>
        <a:ea typeface="Source Han Sans CN Normal"/>
        <a:cs typeface=""/>
      </a:majorFont>
      <a:minorFont>
        <a:latin typeface="Open Sans"/>
        <a:ea typeface="Source Han Sans CN Normal"/>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EAB60-5C66-4E66-8394-A0A90B691E98}">
  <sheetPr>
    <pageSetUpPr fitToPage="1"/>
  </sheetPr>
  <dimension ref="A1:AP54"/>
  <sheetViews>
    <sheetView view="pageLayout" topLeftCell="A40" zoomScaleNormal="48" workbookViewId="0">
      <selection activeCell="F54" sqref="F54:I54"/>
    </sheetView>
  </sheetViews>
  <sheetFormatPr defaultColWidth="9.33203125" defaultRowHeight="20.149999999999999" customHeight="1"/>
  <cols>
    <col min="1" max="1" width="8.9140625" style="4" customWidth="1"/>
    <col min="2" max="8" width="8.9140625" style="5" customWidth="1"/>
    <col min="9" max="9" width="9.33203125" style="4"/>
    <col min="10" max="11" width="9.33203125" customWidth="1"/>
    <col min="12" max="12" width="10.08203125" customWidth="1"/>
    <col min="13" max="13" width="9.33203125" customWidth="1"/>
    <col min="14" max="17" width="9.33203125" style="4" hidden="1" customWidth="1"/>
    <col min="18" max="40" width="4.9140625" style="23" hidden="1" customWidth="1"/>
    <col min="41" max="41" width="9.33203125" style="4" hidden="1" customWidth="1"/>
    <col min="42" max="42" width="0" style="4" hidden="1" customWidth="1"/>
    <col min="43" max="16384" width="9.33203125" style="4"/>
  </cols>
  <sheetData>
    <row r="1" spans="1:40" s="19" customFormat="1" ht="23">
      <c r="A1" s="67" t="s">
        <v>24</v>
      </c>
      <c r="B1" s="67"/>
      <c r="C1" s="67"/>
      <c r="D1" s="67"/>
      <c r="E1" s="67"/>
      <c r="F1" s="67"/>
      <c r="G1" s="67"/>
      <c r="H1" s="67"/>
      <c r="I1" s="67"/>
      <c r="J1"/>
      <c r="K1"/>
      <c r="L1"/>
      <c r="M1"/>
      <c r="N1" s="18"/>
      <c r="O1" s="18"/>
      <c r="R1" s="77" t="s">
        <v>59</v>
      </c>
      <c r="S1" s="77"/>
      <c r="T1" s="77"/>
      <c r="U1" s="77"/>
      <c r="V1" s="77"/>
      <c r="W1" s="77"/>
      <c r="X1" s="77"/>
      <c r="Y1" s="77"/>
      <c r="Z1" s="77"/>
      <c r="AA1" s="77"/>
      <c r="AB1" s="77"/>
      <c r="AC1" s="77"/>
      <c r="AD1" s="77"/>
      <c r="AE1" s="77"/>
      <c r="AF1" s="77"/>
      <c r="AG1" s="77"/>
      <c r="AH1" s="77"/>
      <c r="AI1" s="77"/>
      <c r="AJ1" s="77"/>
      <c r="AK1" s="77"/>
      <c r="AL1" s="77"/>
      <c r="AM1" s="77"/>
      <c r="AN1" s="77"/>
    </row>
    <row r="2" spans="1:40" s="19" customFormat="1" ht="23">
      <c r="A2" s="3" t="s">
        <v>84</v>
      </c>
      <c r="B2" s="3"/>
      <c r="C2" s="3"/>
      <c r="D2" s="3"/>
      <c r="E2" s="3"/>
      <c r="F2" s="3"/>
      <c r="G2" s="3"/>
      <c r="H2" s="3"/>
      <c r="I2" s="3"/>
      <c r="J2"/>
      <c r="K2"/>
      <c r="L2"/>
      <c r="M2"/>
      <c r="N2" s="18"/>
      <c r="O2" s="18"/>
      <c r="R2" s="23" t="s">
        <v>54</v>
      </c>
      <c r="S2" s="23" t="s">
        <v>55</v>
      </c>
      <c r="T2" s="23" t="s">
        <v>56</v>
      </c>
      <c r="U2" s="23">
        <v>1</v>
      </c>
      <c r="V2" s="23">
        <v>2</v>
      </c>
      <c r="W2" s="23">
        <v>3</v>
      </c>
      <c r="X2" s="23">
        <v>4</v>
      </c>
      <c r="Y2" s="23">
        <v>5</v>
      </c>
      <c r="Z2" s="23">
        <v>6</v>
      </c>
      <c r="AA2" s="23">
        <v>7</v>
      </c>
      <c r="AB2" s="23">
        <v>8</v>
      </c>
      <c r="AC2" s="23">
        <v>9</v>
      </c>
      <c r="AD2" s="23">
        <v>10</v>
      </c>
      <c r="AE2" s="23">
        <v>11</v>
      </c>
      <c r="AF2" s="23">
        <v>12</v>
      </c>
      <c r="AG2" s="23">
        <v>13</v>
      </c>
      <c r="AH2" s="23">
        <v>14</v>
      </c>
      <c r="AI2" s="23">
        <v>15</v>
      </c>
      <c r="AJ2" s="23">
        <v>16</v>
      </c>
      <c r="AK2" s="23">
        <v>17</v>
      </c>
      <c r="AL2" s="23">
        <v>18</v>
      </c>
      <c r="AM2" s="23">
        <v>19</v>
      </c>
      <c r="AN2" s="23">
        <v>20</v>
      </c>
    </row>
    <row r="3" spans="1:40" ht="20.5">
      <c r="A3" s="68" t="s">
        <v>67</v>
      </c>
      <c r="B3" s="68"/>
      <c r="C3" s="68"/>
      <c r="D3" s="68"/>
      <c r="E3" s="68"/>
      <c r="F3" s="68"/>
      <c r="G3" s="68"/>
      <c r="H3" s="68"/>
      <c r="I3" s="68"/>
      <c r="N3" s="2"/>
      <c r="O3" s="2"/>
      <c r="R3" s="23" t="s">
        <v>58</v>
      </c>
      <c r="S3" s="23">
        <f>F29</f>
        <v>1100496</v>
      </c>
      <c r="T3" s="23">
        <f>-F27+(F29*F5)-(F11*F29*F5)</f>
        <v>-270486.46560000005</v>
      </c>
      <c r="U3" s="23">
        <f>T3</f>
        <v>-270486.46560000005</v>
      </c>
      <c r="V3" s="23">
        <f>U3</f>
        <v>-270486.46560000005</v>
      </c>
      <c r="W3" s="23">
        <f t="shared" ref="W3:AL5" si="0">V3</f>
        <v>-270486.46560000005</v>
      </c>
      <c r="X3" s="23">
        <f t="shared" si="0"/>
        <v>-270486.46560000005</v>
      </c>
      <c r="Y3" s="23">
        <f t="shared" si="0"/>
        <v>-270486.46560000005</v>
      </c>
      <c r="Z3" s="23">
        <f t="shared" si="0"/>
        <v>-270486.46560000005</v>
      </c>
      <c r="AA3" s="23">
        <f t="shared" si="0"/>
        <v>-270486.46560000005</v>
      </c>
      <c r="AB3" s="23">
        <f t="shared" si="0"/>
        <v>-270486.46560000005</v>
      </c>
      <c r="AC3" s="23">
        <f t="shared" si="0"/>
        <v>-270486.46560000005</v>
      </c>
      <c r="AD3" s="23">
        <f t="shared" si="0"/>
        <v>-270486.46560000005</v>
      </c>
      <c r="AE3" s="23">
        <f t="shared" si="0"/>
        <v>-270486.46560000005</v>
      </c>
      <c r="AF3" s="23">
        <f t="shared" si="0"/>
        <v>-270486.46560000005</v>
      </c>
      <c r="AG3" s="23">
        <f t="shared" si="0"/>
        <v>-270486.46560000005</v>
      </c>
      <c r="AH3" s="23">
        <f t="shared" si="0"/>
        <v>-270486.46560000005</v>
      </c>
      <c r="AI3" s="23">
        <f t="shared" si="0"/>
        <v>-270486.46560000005</v>
      </c>
      <c r="AJ3" s="23">
        <f t="shared" si="0"/>
        <v>-270486.46560000005</v>
      </c>
      <c r="AK3" s="23">
        <f t="shared" si="0"/>
        <v>-270486.46560000005</v>
      </c>
      <c r="AL3" s="23">
        <f t="shared" si="0"/>
        <v>-270486.46560000005</v>
      </c>
      <c r="AM3" s="23">
        <f t="shared" ref="Y3:AN18" si="1">AL3</f>
        <v>-270486.46560000005</v>
      </c>
      <c r="AN3" s="23">
        <f t="shared" si="1"/>
        <v>-270486.46560000005</v>
      </c>
    </row>
    <row r="4" spans="1:40" ht="16.5">
      <c r="A4" s="17" t="s">
        <v>7</v>
      </c>
      <c r="B4" s="17"/>
      <c r="C4" s="17"/>
      <c r="D4" s="17"/>
      <c r="E4" s="17"/>
      <c r="F4" s="71" t="s">
        <v>97</v>
      </c>
      <c r="G4" s="71"/>
      <c r="H4" s="71"/>
      <c r="I4" s="71"/>
      <c r="R4" s="23" t="str">
        <f t="shared" ref="R4:S6" si="2">A32</f>
        <v>Yr1</v>
      </c>
      <c r="S4" s="23">
        <f t="shared" si="2"/>
        <v>1119167</v>
      </c>
      <c r="T4" s="23">
        <f>-(F7+F8)*F29*F5</f>
        <v>-19808.928</v>
      </c>
      <c r="U4" s="23">
        <f>$S4+$T4-($F$29*$F$5)</f>
        <v>108911.6719999999</v>
      </c>
      <c r="V4" s="23">
        <f>T4</f>
        <v>-19808.928</v>
      </c>
      <c r="W4" s="23">
        <f>V4</f>
        <v>-19808.928</v>
      </c>
      <c r="X4" s="23">
        <f t="shared" si="0"/>
        <v>-19808.928</v>
      </c>
      <c r="Y4" s="23">
        <f t="shared" si="0"/>
        <v>-19808.928</v>
      </c>
      <c r="Z4" s="23">
        <f t="shared" si="0"/>
        <v>-19808.928</v>
      </c>
      <c r="AA4" s="23">
        <f t="shared" si="0"/>
        <v>-19808.928</v>
      </c>
      <c r="AB4" s="23">
        <f t="shared" si="0"/>
        <v>-19808.928</v>
      </c>
      <c r="AC4" s="23">
        <f t="shared" si="0"/>
        <v>-19808.928</v>
      </c>
      <c r="AD4" s="23">
        <f t="shared" si="0"/>
        <v>-19808.928</v>
      </c>
      <c r="AE4" s="23">
        <f t="shared" si="0"/>
        <v>-19808.928</v>
      </c>
      <c r="AF4" s="23">
        <f t="shared" si="0"/>
        <v>-19808.928</v>
      </c>
      <c r="AG4" s="23">
        <f t="shared" si="0"/>
        <v>-19808.928</v>
      </c>
      <c r="AH4" s="23">
        <f t="shared" si="0"/>
        <v>-19808.928</v>
      </c>
      <c r="AI4" s="23">
        <f t="shared" si="0"/>
        <v>-19808.928</v>
      </c>
      <c r="AJ4" s="23">
        <f t="shared" si="0"/>
        <v>-19808.928</v>
      </c>
      <c r="AK4" s="23">
        <f t="shared" si="0"/>
        <v>-19808.928</v>
      </c>
      <c r="AL4" s="23">
        <f t="shared" si="0"/>
        <v>-19808.928</v>
      </c>
      <c r="AM4" s="23">
        <f t="shared" si="1"/>
        <v>-19808.928</v>
      </c>
      <c r="AN4" s="23">
        <f t="shared" si="1"/>
        <v>-19808.928</v>
      </c>
    </row>
    <row r="5" spans="1:40" ht="16.5">
      <c r="A5" s="17" t="s">
        <v>0</v>
      </c>
      <c r="B5" s="17"/>
      <c r="C5" s="17"/>
      <c r="D5" s="17"/>
      <c r="E5" s="17"/>
      <c r="F5" s="76">
        <v>0.9</v>
      </c>
      <c r="G5" s="76"/>
      <c r="H5" s="76"/>
      <c r="I5" s="76"/>
      <c r="N5" s="4" t="s">
        <v>75</v>
      </c>
      <c r="O5" s="4" t="s">
        <v>71</v>
      </c>
      <c r="R5" s="23" t="str">
        <f t="shared" si="2"/>
        <v>Yr2</v>
      </c>
      <c r="S5" s="23">
        <f t="shared" si="2"/>
        <v>1119167</v>
      </c>
      <c r="T5" s="23">
        <f>T4</f>
        <v>-19808.928</v>
      </c>
      <c r="V5" s="23">
        <f>$S5+$T5-($F$29*$F$5)</f>
        <v>108911.6719999999</v>
      </c>
      <c r="W5" s="23">
        <f>W4</f>
        <v>-19808.928</v>
      </c>
      <c r="X5" s="23">
        <f t="shared" si="0"/>
        <v>-19808.928</v>
      </c>
      <c r="Y5" s="23">
        <f t="shared" si="0"/>
        <v>-19808.928</v>
      </c>
      <c r="Z5" s="23">
        <f t="shared" si="0"/>
        <v>-19808.928</v>
      </c>
      <c r="AA5" s="23">
        <f t="shared" si="0"/>
        <v>-19808.928</v>
      </c>
      <c r="AB5" s="23">
        <f t="shared" si="0"/>
        <v>-19808.928</v>
      </c>
      <c r="AC5" s="23">
        <f t="shared" si="0"/>
        <v>-19808.928</v>
      </c>
      <c r="AD5" s="23">
        <f t="shared" si="0"/>
        <v>-19808.928</v>
      </c>
      <c r="AE5" s="23">
        <f t="shared" si="0"/>
        <v>-19808.928</v>
      </c>
      <c r="AF5" s="23">
        <f t="shared" si="0"/>
        <v>-19808.928</v>
      </c>
      <c r="AG5" s="23">
        <f t="shared" si="0"/>
        <v>-19808.928</v>
      </c>
      <c r="AH5" s="23">
        <f t="shared" si="0"/>
        <v>-19808.928</v>
      </c>
      <c r="AI5" s="23">
        <f t="shared" si="0"/>
        <v>-19808.928</v>
      </c>
      <c r="AJ5" s="23">
        <f t="shared" si="0"/>
        <v>-19808.928</v>
      </c>
      <c r="AK5" s="23">
        <f t="shared" si="0"/>
        <v>-19808.928</v>
      </c>
      <c r="AL5" s="23">
        <f t="shared" si="0"/>
        <v>-19808.928</v>
      </c>
      <c r="AM5" s="23">
        <f t="shared" si="1"/>
        <v>-19808.928</v>
      </c>
      <c r="AN5" s="23">
        <f t="shared" si="1"/>
        <v>-19808.928</v>
      </c>
    </row>
    <row r="6" spans="1:40" ht="16.5">
      <c r="A6" s="17" t="s">
        <v>28</v>
      </c>
      <c r="B6" s="17"/>
      <c r="C6" s="17"/>
      <c r="D6" s="17"/>
      <c r="E6" s="33"/>
      <c r="F6" s="64" t="s">
        <v>85</v>
      </c>
      <c r="G6" s="65"/>
      <c r="H6" s="65"/>
      <c r="I6" s="66"/>
      <c r="N6" s="8" t="s">
        <v>32</v>
      </c>
      <c r="O6" s="8" t="s">
        <v>61</v>
      </c>
      <c r="P6" s="8" t="s">
        <v>62</v>
      </c>
      <c r="Q6" s="8" t="s">
        <v>63</v>
      </c>
      <c r="R6" s="23" t="str">
        <f t="shared" si="2"/>
        <v>Yr3</v>
      </c>
      <c r="S6" s="23">
        <f t="shared" si="2"/>
        <v>1119295</v>
      </c>
      <c r="T6" s="23">
        <f t="shared" ref="T6:T23" si="3">T5</f>
        <v>-19808.928</v>
      </c>
      <c r="W6" s="23">
        <f>$S6+$T6-($F$29*$F$5)</f>
        <v>109039.6719999999</v>
      </c>
      <c r="X6" s="23">
        <f>X5</f>
        <v>-19808.928</v>
      </c>
      <c r="Y6" s="23">
        <f t="shared" si="1"/>
        <v>-19808.928</v>
      </c>
      <c r="Z6" s="23">
        <f t="shared" si="1"/>
        <v>-19808.928</v>
      </c>
      <c r="AA6" s="23">
        <f t="shared" si="1"/>
        <v>-19808.928</v>
      </c>
      <c r="AB6" s="23">
        <f t="shared" si="1"/>
        <v>-19808.928</v>
      </c>
      <c r="AC6" s="23">
        <f t="shared" si="1"/>
        <v>-19808.928</v>
      </c>
      <c r="AD6" s="23">
        <f t="shared" si="1"/>
        <v>-19808.928</v>
      </c>
      <c r="AE6" s="23">
        <f t="shared" si="1"/>
        <v>-19808.928</v>
      </c>
      <c r="AF6" s="23">
        <f t="shared" si="1"/>
        <v>-19808.928</v>
      </c>
      <c r="AG6" s="23">
        <f t="shared" si="1"/>
        <v>-19808.928</v>
      </c>
      <c r="AH6" s="23">
        <f t="shared" si="1"/>
        <v>-19808.928</v>
      </c>
      <c r="AI6" s="23">
        <f t="shared" si="1"/>
        <v>-19808.928</v>
      </c>
      <c r="AJ6" s="23">
        <f t="shared" si="1"/>
        <v>-19808.928</v>
      </c>
      <c r="AK6" s="23">
        <f t="shared" si="1"/>
        <v>-19808.928</v>
      </c>
      <c r="AL6" s="23">
        <f t="shared" si="1"/>
        <v>-19808.928</v>
      </c>
      <c r="AM6" s="23">
        <f t="shared" si="1"/>
        <v>-19808.928</v>
      </c>
      <c r="AN6" s="23">
        <f t="shared" si="1"/>
        <v>-19808.928</v>
      </c>
    </row>
    <row r="7" spans="1:40" ht="16.5">
      <c r="A7" s="17" t="s">
        <v>1</v>
      </c>
      <c r="B7" s="17"/>
      <c r="C7" s="17"/>
      <c r="D7" s="17"/>
      <c r="E7" s="17"/>
      <c r="F7" s="76">
        <v>2E-3</v>
      </c>
      <c r="G7" s="76"/>
      <c r="H7" s="76"/>
      <c r="I7" s="76"/>
      <c r="N7" s="8" t="s">
        <v>23</v>
      </c>
      <c r="O7" s="36" t="s">
        <v>72</v>
      </c>
      <c r="P7" s="8" t="s">
        <v>73</v>
      </c>
      <c r="Q7" s="36" t="s">
        <v>74</v>
      </c>
      <c r="R7" s="23" t="str">
        <f t="shared" ref="R7:R13" si="4">A35</f>
        <v>Yr4</v>
      </c>
      <c r="S7" s="23">
        <f t="shared" ref="S7:S13" si="5">B35</f>
        <v>1119429</v>
      </c>
      <c r="T7" s="23">
        <f>T6</f>
        <v>-19808.928</v>
      </c>
      <c r="X7" s="23">
        <f>$S7+$T7-($F$29*$F$5)</f>
        <v>109173.6719999999</v>
      </c>
      <c r="Y7" s="23">
        <f>Y6</f>
        <v>-19808.928</v>
      </c>
      <c r="Z7" s="23">
        <f t="shared" si="1"/>
        <v>-19808.928</v>
      </c>
      <c r="AA7" s="23">
        <f t="shared" si="1"/>
        <v>-19808.928</v>
      </c>
      <c r="AB7" s="23">
        <f t="shared" si="1"/>
        <v>-19808.928</v>
      </c>
      <c r="AC7" s="23">
        <f t="shared" si="1"/>
        <v>-19808.928</v>
      </c>
      <c r="AD7" s="23">
        <f t="shared" si="1"/>
        <v>-19808.928</v>
      </c>
      <c r="AE7" s="23">
        <f t="shared" si="1"/>
        <v>-19808.928</v>
      </c>
      <c r="AF7" s="23">
        <f t="shared" si="1"/>
        <v>-19808.928</v>
      </c>
      <c r="AG7" s="23">
        <f t="shared" si="1"/>
        <v>-19808.928</v>
      </c>
      <c r="AH7" s="23">
        <f t="shared" si="1"/>
        <v>-19808.928</v>
      </c>
      <c r="AI7" s="23">
        <f t="shared" si="1"/>
        <v>-19808.928</v>
      </c>
      <c r="AJ7" s="23">
        <f t="shared" si="1"/>
        <v>-19808.928</v>
      </c>
      <c r="AK7" s="23">
        <f t="shared" si="1"/>
        <v>-19808.928</v>
      </c>
      <c r="AL7" s="23">
        <f t="shared" si="1"/>
        <v>-19808.928</v>
      </c>
      <c r="AM7" s="23">
        <f t="shared" si="1"/>
        <v>-19808.928</v>
      </c>
      <c r="AN7" s="23">
        <f t="shared" si="1"/>
        <v>-19808.928</v>
      </c>
    </row>
    <row r="8" spans="1:40" ht="16.5">
      <c r="A8" s="17" t="s">
        <v>9</v>
      </c>
      <c r="B8" s="17"/>
      <c r="C8" s="17"/>
      <c r="D8" s="17"/>
      <c r="E8" s="17"/>
      <c r="F8" s="76">
        <v>1.7999999999999999E-2</v>
      </c>
      <c r="G8" s="76"/>
      <c r="H8" s="76"/>
      <c r="I8" s="76"/>
      <c r="N8" s="4" t="s">
        <v>81</v>
      </c>
      <c r="O8" s="4" t="s">
        <v>82</v>
      </c>
      <c r="R8" s="23" t="str">
        <f t="shared" si="4"/>
        <v>Yr5</v>
      </c>
      <c r="S8" s="23">
        <f t="shared" si="5"/>
        <v>1252594</v>
      </c>
      <c r="T8" s="23">
        <f t="shared" si="3"/>
        <v>-19808.928</v>
      </c>
      <c r="Y8" s="23">
        <f>$S8+$T8-($F$29*$F$5)</f>
        <v>242338.6719999999</v>
      </c>
      <c r="Z8" s="23">
        <f>Z7</f>
        <v>-19808.928</v>
      </c>
      <c r="AA8" s="23">
        <f t="shared" si="1"/>
        <v>-19808.928</v>
      </c>
      <c r="AB8" s="23">
        <f t="shared" si="1"/>
        <v>-19808.928</v>
      </c>
      <c r="AC8" s="23">
        <f t="shared" si="1"/>
        <v>-19808.928</v>
      </c>
      <c r="AD8" s="23">
        <f t="shared" si="1"/>
        <v>-19808.928</v>
      </c>
      <c r="AE8" s="23">
        <f t="shared" si="1"/>
        <v>-19808.928</v>
      </c>
      <c r="AF8" s="23">
        <f t="shared" si="1"/>
        <v>-19808.928</v>
      </c>
      <c r="AG8" s="23">
        <f t="shared" si="1"/>
        <v>-19808.928</v>
      </c>
      <c r="AH8" s="23">
        <f t="shared" si="1"/>
        <v>-19808.928</v>
      </c>
      <c r="AI8" s="23">
        <f t="shared" si="1"/>
        <v>-19808.928</v>
      </c>
      <c r="AJ8" s="23">
        <f t="shared" si="1"/>
        <v>-19808.928</v>
      </c>
      <c r="AK8" s="23">
        <f t="shared" si="1"/>
        <v>-19808.928</v>
      </c>
      <c r="AL8" s="23">
        <f t="shared" si="1"/>
        <v>-19808.928</v>
      </c>
      <c r="AM8" s="23">
        <f t="shared" si="1"/>
        <v>-19808.928</v>
      </c>
      <c r="AN8" s="23">
        <f t="shared" si="1"/>
        <v>-19808.928</v>
      </c>
    </row>
    <row r="9" spans="1:40" ht="16.5">
      <c r="A9" s="17" t="s">
        <v>29</v>
      </c>
      <c r="B9" s="17"/>
      <c r="C9" s="17"/>
      <c r="D9" s="17"/>
      <c r="E9" s="33"/>
      <c r="F9" s="64">
        <v>0</v>
      </c>
      <c r="G9" s="65"/>
      <c r="H9" s="65"/>
      <c r="I9" s="66"/>
      <c r="R9" s="23" t="str">
        <f t="shared" si="4"/>
        <v>Yr6</v>
      </c>
      <c r="S9" s="23">
        <f t="shared" si="5"/>
        <v>1321213</v>
      </c>
      <c r="T9" s="23">
        <f t="shared" si="3"/>
        <v>-19808.928</v>
      </c>
      <c r="Z9" s="23">
        <f>$S9+$T9-($F$29*$F$5)</f>
        <v>310957.6719999999</v>
      </c>
      <c r="AA9" s="23">
        <f>AA8</f>
        <v>-19808.928</v>
      </c>
      <c r="AB9" s="23">
        <f t="shared" si="1"/>
        <v>-19808.928</v>
      </c>
      <c r="AC9" s="23">
        <f t="shared" si="1"/>
        <v>-19808.928</v>
      </c>
      <c r="AD9" s="23">
        <f t="shared" si="1"/>
        <v>-19808.928</v>
      </c>
      <c r="AE9" s="23">
        <f t="shared" si="1"/>
        <v>-19808.928</v>
      </c>
      <c r="AF9" s="23">
        <f t="shared" si="1"/>
        <v>-19808.928</v>
      </c>
      <c r="AG9" s="23">
        <f t="shared" si="1"/>
        <v>-19808.928</v>
      </c>
      <c r="AH9" s="23">
        <f t="shared" si="1"/>
        <v>-19808.928</v>
      </c>
      <c r="AI9" s="23">
        <f t="shared" si="1"/>
        <v>-19808.928</v>
      </c>
      <c r="AJ9" s="23">
        <f t="shared" si="1"/>
        <v>-19808.928</v>
      </c>
      <c r="AK9" s="23">
        <f t="shared" si="1"/>
        <v>-19808.928</v>
      </c>
      <c r="AL9" s="23">
        <f t="shared" si="1"/>
        <v>-19808.928</v>
      </c>
      <c r="AM9" s="23">
        <f t="shared" si="1"/>
        <v>-19808.928</v>
      </c>
      <c r="AN9" s="23">
        <f t="shared" si="1"/>
        <v>-19808.928</v>
      </c>
    </row>
    <row r="10" spans="1:40" ht="16.5">
      <c r="A10" s="34" t="s">
        <v>10</v>
      </c>
      <c r="B10" s="34"/>
      <c r="C10" s="34"/>
      <c r="D10" s="34"/>
      <c r="E10" s="35"/>
      <c r="F10" s="73">
        <v>5</v>
      </c>
      <c r="G10" s="74"/>
      <c r="H10" s="74"/>
      <c r="I10" s="75"/>
      <c r="J10" t="str">
        <f>N10</f>
        <v>yr</v>
      </c>
      <c r="N10" s="4" t="s">
        <v>30</v>
      </c>
      <c r="R10" s="23" t="str">
        <f t="shared" si="4"/>
        <v>Yr7</v>
      </c>
      <c r="S10" s="23">
        <f t="shared" si="5"/>
        <v>1478545</v>
      </c>
      <c r="T10" s="23">
        <f t="shared" si="3"/>
        <v>-19808.928</v>
      </c>
      <c r="AA10" s="23">
        <f>$S10+$T10-($F$29*$F$5)</f>
        <v>468289.6719999999</v>
      </c>
      <c r="AB10" s="23">
        <f>AB9</f>
        <v>-19808.928</v>
      </c>
      <c r="AC10" s="23">
        <f t="shared" si="1"/>
        <v>-19808.928</v>
      </c>
      <c r="AD10" s="23">
        <f t="shared" si="1"/>
        <v>-19808.928</v>
      </c>
      <c r="AE10" s="23">
        <f t="shared" si="1"/>
        <v>-19808.928</v>
      </c>
      <c r="AF10" s="23">
        <f t="shared" si="1"/>
        <v>-19808.928</v>
      </c>
      <c r="AG10" s="23">
        <f t="shared" si="1"/>
        <v>-19808.928</v>
      </c>
      <c r="AH10" s="23">
        <f t="shared" si="1"/>
        <v>-19808.928</v>
      </c>
      <c r="AI10" s="23">
        <f t="shared" si="1"/>
        <v>-19808.928</v>
      </c>
      <c r="AJ10" s="23">
        <f t="shared" si="1"/>
        <v>-19808.928</v>
      </c>
      <c r="AK10" s="23">
        <f t="shared" si="1"/>
        <v>-19808.928</v>
      </c>
      <c r="AL10" s="23">
        <f t="shared" si="1"/>
        <v>-19808.928</v>
      </c>
      <c r="AM10" s="23">
        <f t="shared" si="1"/>
        <v>-19808.928</v>
      </c>
      <c r="AN10" s="23">
        <f t="shared" si="1"/>
        <v>-19808.928</v>
      </c>
    </row>
    <row r="11" spans="1:40" ht="16.5">
      <c r="A11" s="17" t="s">
        <v>2</v>
      </c>
      <c r="B11" s="17"/>
      <c r="C11" s="17"/>
      <c r="D11" s="17"/>
      <c r="E11" s="17"/>
      <c r="F11" s="76">
        <v>4.0000000000000001E-3</v>
      </c>
      <c r="G11" s="76"/>
      <c r="H11" s="76"/>
      <c r="I11" s="76"/>
      <c r="R11" s="23" t="str">
        <f t="shared" si="4"/>
        <v>Yr8</v>
      </c>
      <c r="S11" s="23">
        <f t="shared" si="5"/>
        <v>1621921</v>
      </c>
      <c r="T11" s="23">
        <f t="shared" si="3"/>
        <v>-19808.928</v>
      </c>
      <c r="AB11" s="23">
        <f>$S11+$T11-($F$29*$F$5)</f>
        <v>611665.6719999999</v>
      </c>
      <c r="AC11" s="23">
        <f>AC10</f>
        <v>-19808.928</v>
      </c>
      <c r="AD11" s="23">
        <f t="shared" si="1"/>
        <v>-19808.928</v>
      </c>
      <c r="AE11" s="23">
        <f t="shared" si="1"/>
        <v>-19808.928</v>
      </c>
      <c r="AF11" s="23">
        <f t="shared" si="1"/>
        <v>-19808.928</v>
      </c>
      <c r="AG11" s="23">
        <f t="shared" si="1"/>
        <v>-19808.928</v>
      </c>
      <c r="AH11" s="23">
        <f t="shared" si="1"/>
        <v>-19808.928</v>
      </c>
      <c r="AI11" s="23">
        <f t="shared" si="1"/>
        <v>-19808.928</v>
      </c>
      <c r="AJ11" s="23">
        <f t="shared" si="1"/>
        <v>-19808.928</v>
      </c>
      <c r="AK11" s="23">
        <f t="shared" si="1"/>
        <v>-19808.928</v>
      </c>
      <c r="AL11" s="23">
        <f t="shared" si="1"/>
        <v>-19808.928</v>
      </c>
      <c r="AM11" s="23">
        <f t="shared" si="1"/>
        <v>-19808.928</v>
      </c>
      <c r="AN11" s="23">
        <f t="shared" si="1"/>
        <v>-19808.928</v>
      </c>
    </row>
    <row r="12" spans="1:40" ht="16.5">
      <c r="A12" s="17" t="s">
        <v>3</v>
      </c>
      <c r="B12" s="17"/>
      <c r="C12" s="17"/>
      <c r="D12" s="17"/>
      <c r="E12" s="17"/>
      <c r="F12" s="76">
        <v>4.0000000000000001E-3</v>
      </c>
      <c r="G12" s="76"/>
      <c r="H12" s="76"/>
      <c r="I12" s="76"/>
      <c r="R12" s="23" t="str">
        <f t="shared" si="4"/>
        <v>Yr9</v>
      </c>
      <c r="S12" s="23">
        <f t="shared" si="5"/>
        <v>1740790</v>
      </c>
      <c r="T12" s="23">
        <f t="shared" si="3"/>
        <v>-19808.928</v>
      </c>
      <c r="AC12" s="23">
        <f>$S12+$T12-($F$29*$F$5)</f>
        <v>730534.6719999999</v>
      </c>
      <c r="AD12" s="23">
        <f>AD11</f>
        <v>-19808.928</v>
      </c>
      <c r="AE12" s="23">
        <f t="shared" si="1"/>
        <v>-19808.928</v>
      </c>
      <c r="AF12" s="23">
        <f t="shared" si="1"/>
        <v>-19808.928</v>
      </c>
      <c r="AG12" s="23">
        <f t="shared" si="1"/>
        <v>-19808.928</v>
      </c>
      <c r="AH12" s="23">
        <f t="shared" si="1"/>
        <v>-19808.928</v>
      </c>
      <c r="AI12" s="23">
        <f t="shared" si="1"/>
        <v>-19808.928</v>
      </c>
      <c r="AJ12" s="23">
        <f t="shared" si="1"/>
        <v>-19808.928</v>
      </c>
      <c r="AK12" s="23">
        <f t="shared" si="1"/>
        <v>-19808.928</v>
      </c>
      <c r="AL12" s="23">
        <f t="shared" si="1"/>
        <v>-19808.928</v>
      </c>
      <c r="AM12" s="23">
        <f t="shared" si="1"/>
        <v>-19808.928</v>
      </c>
      <c r="AN12" s="23">
        <f t="shared" si="1"/>
        <v>-19808.928</v>
      </c>
    </row>
    <row r="13" spans="1:40" ht="16.5">
      <c r="A13" s="17" t="s">
        <v>4</v>
      </c>
      <c r="B13" s="17"/>
      <c r="C13" s="17"/>
      <c r="D13" s="17"/>
      <c r="E13" s="17"/>
      <c r="F13" s="76">
        <v>4.0000000000000001E-3</v>
      </c>
      <c r="G13" s="76"/>
      <c r="H13" s="76"/>
      <c r="I13" s="76"/>
      <c r="R13" s="23" t="str">
        <f t="shared" si="4"/>
        <v>Yr10</v>
      </c>
      <c r="S13" s="23">
        <f t="shared" si="5"/>
        <v>1869449</v>
      </c>
      <c r="T13" s="23">
        <f t="shared" si="3"/>
        <v>-19808.928</v>
      </c>
      <c r="AD13" s="23">
        <f>$S13+$T13-($F$29*$F$5)</f>
        <v>859193.6719999999</v>
      </c>
      <c r="AE13" s="23">
        <f>AE12</f>
        <v>-19808.928</v>
      </c>
      <c r="AF13" s="23">
        <f t="shared" si="1"/>
        <v>-19808.928</v>
      </c>
      <c r="AG13" s="23">
        <f t="shared" si="1"/>
        <v>-19808.928</v>
      </c>
      <c r="AH13" s="23">
        <f t="shared" si="1"/>
        <v>-19808.928</v>
      </c>
      <c r="AI13" s="23">
        <f t="shared" si="1"/>
        <v>-19808.928</v>
      </c>
      <c r="AJ13" s="23">
        <f t="shared" si="1"/>
        <v>-19808.928</v>
      </c>
      <c r="AK13" s="23">
        <f t="shared" si="1"/>
        <v>-19808.928</v>
      </c>
      <c r="AL13" s="23">
        <f t="shared" si="1"/>
        <v>-19808.928</v>
      </c>
      <c r="AM13" s="23">
        <f t="shared" si="1"/>
        <v>-19808.928</v>
      </c>
      <c r="AN13" s="23">
        <f t="shared" si="1"/>
        <v>-19808.928</v>
      </c>
    </row>
    <row r="14" spans="1:40" ht="16.5">
      <c r="A14" s="17" t="s">
        <v>5</v>
      </c>
      <c r="B14" s="17"/>
      <c r="C14" s="17"/>
      <c r="D14" s="17"/>
      <c r="E14" s="17"/>
      <c r="F14" s="76">
        <v>4.0000000000000001E-3</v>
      </c>
      <c r="G14" s="76"/>
      <c r="H14" s="76"/>
      <c r="I14" s="76"/>
      <c r="R14" s="23" t="str">
        <f>E32</f>
        <v>Yr11</v>
      </c>
      <c r="S14" s="23">
        <f>F32</f>
        <v>1978385</v>
      </c>
      <c r="T14" s="23">
        <f t="shared" si="3"/>
        <v>-19808.928</v>
      </c>
      <c r="AE14" s="23">
        <f>$S14+$T14-($F$29*$F$5)</f>
        <v>968129.6719999999</v>
      </c>
      <c r="AF14" s="23">
        <f>AF13</f>
        <v>-19808.928</v>
      </c>
      <c r="AG14" s="23">
        <f t="shared" si="1"/>
        <v>-19808.928</v>
      </c>
      <c r="AH14" s="23">
        <f t="shared" si="1"/>
        <v>-19808.928</v>
      </c>
      <c r="AI14" s="23">
        <f t="shared" si="1"/>
        <v>-19808.928</v>
      </c>
      <c r="AJ14" s="23">
        <f t="shared" si="1"/>
        <v>-19808.928</v>
      </c>
      <c r="AK14" s="23">
        <f t="shared" si="1"/>
        <v>-19808.928</v>
      </c>
      <c r="AL14" s="23">
        <f t="shared" si="1"/>
        <v>-19808.928</v>
      </c>
      <c r="AM14" s="23">
        <f t="shared" si="1"/>
        <v>-19808.928</v>
      </c>
      <c r="AN14" s="23">
        <f t="shared" si="1"/>
        <v>-19808.928</v>
      </c>
    </row>
    <row r="15" spans="1:40" ht="16.5">
      <c r="A15" s="17" t="s">
        <v>6</v>
      </c>
      <c r="B15" s="17"/>
      <c r="C15" s="17"/>
      <c r="D15" s="17"/>
      <c r="E15" s="17"/>
      <c r="F15" s="76">
        <v>4.0000000000000001E-3</v>
      </c>
      <c r="G15" s="76"/>
      <c r="H15" s="76"/>
      <c r="I15" s="76"/>
      <c r="R15" s="23" t="str">
        <f t="shared" ref="R15:R23" si="6">E33</f>
        <v>Yr12</v>
      </c>
      <c r="S15" s="23">
        <f t="shared" ref="S15:S23" si="7">F33</f>
        <v>2093612</v>
      </c>
      <c r="T15" s="23">
        <f t="shared" si="3"/>
        <v>-19808.928</v>
      </c>
      <c r="AF15" s="23">
        <f>$S15+$T15-($F$29*$F$5)</f>
        <v>1083356.6719999998</v>
      </c>
      <c r="AG15" s="23">
        <f>AG14</f>
        <v>-19808.928</v>
      </c>
      <c r="AH15" s="23">
        <f t="shared" si="1"/>
        <v>-19808.928</v>
      </c>
      <c r="AI15" s="23">
        <f t="shared" si="1"/>
        <v>-19808.928</v>
      </c>
      <c r="AJ15" s="23">
        <f t="shared" si="1"/>
        <v>-19808.928</v>
      </c>
      <c r="AK15" s="23">
        <f t="shared" si="1"/>
        <v>-19808.928</v>
      </c>
      <c r="AL15" s="23">
        <f t="shared" si="1"/>
        <v>-19808.928</v>
      </c>
      <c r="AM15" s="23">
        <f t="shared" si="1"/>
        <v>-19808.928</v>
      </c>
      <c r="AN15" s="23">
        <f t="shared" si="1"/>
        <v>-19808.928</v>
      </c>
    </row>
    <row r="16" spans="1:40" ht="16.5">
      <c r="A16" s="34" t="s">
        <v>11</v>
      </c>
      <c r="B16" s="34"/>
      <c r="C16" s="34"/>
      <c r="D16" s="34"/>
      <c r="E16" s="35"/>
      <c r="F16" s="73">
        <v>3</v>
      </c>
      <c r="G16" s="74"/>
      <c r="H16" s="74"/>
      <c r="I16" s="75"/>
      <c r="J16" t="str">
        <f>N16</f>
        <v>mth</v>
      </c>
      <c r="N16" s="4" t="s">
        <v>31</v>
      </c>
      <c r="R16" s="23" t="str">
        <f t="shared" si="6"/>
        <v>Yr13</v>
      </c>
      <c r="S16" s="23">
        <f t="shared" si="7"/>
        <v>2215530</v>
      </c>
      <c r="T16" s="23">
        <f t="shared" si="3"/>
        <v>-19808.928</v>
      </c>
      <c r="AG16" s="23">
        <f>$S16+$T16-($F$29*$F$5)</f>
        <v>1205274.6720000003</v>
      </c>
      <c r="AH16" s="23">
        <f>AH15</f>
        <v>-19808.928</v>
      </c>
      <c r="AI16" s="23">
        <f t="shared" si="1"/>
        <v>-19808.928</v>
      </c>
      <c r="AJ16" s="23">
        <f t="shared" si="1"/>
        <v>-19808.928</v>
      </c>
      <c r="AK16" s="23">
        <f t="shared" si="1"/>
        <v>-19808.928</v>
      </c>
      <c r="AL16" s="23">
        <f t="shared" si="1"/>
        <v>-19808.928</v>
      </c>
      <c r="AM16" s="23">
        <f t="shared" si="1"/>
        <v>-19808.928</v>
      </c>
      <c r="AN16" s="23">
        <f t="shared" si="1"/>
        <v>-19808.928</v>
      </c>
    </row>
    <row r="17" spans="1:42" ht="16.5">
      <c r="A17" s="17"/>
      <c r="B17" s="17"/>
      <c r="C17" s="17"/>
      <c r="R17" s="23" t="str">
        <f t="shared" si="6"/>
        <v>Yr14</v>
      </c>
      <c r="S17" s="23">
        <f t="shared" si="7"/>
        <v>2344536</v>
      </c>
      <c r="T17" s="23">
        <f t="shared" si="3"/>
        <v>-19808.928</v>
      </c>
      <c r="AH17" s="23">
        <f>$S17+$T17-($F$29*$F$5)</f>
        <v>1334280.6720000003</v>
      </c>
      <c r="AI17" s="23">
        <f>AI16</f>
        <v>-19808.928</v>
      </c>
      <c r="AJ17" s="23">
        <f t="shared" si="1"/>
        <v>-19808.928</v>
      </c>
      <c r="AK17" s="23">
        <f t="shared" si="1"/>
        <v>-19808.928</v>
      </c>
      <c r="AL17" s="23">
        <f t="shared" si="1"/>
        <v>-19808.928</v>
      </c>
      <c r="AM17" s="23">
        <f t="shared" si="1"/>
        <v>-19808.928</v>
      </c>
      <c r="AN17" s="23">
        <f t="shared" si="1"/>
        <v>-19808.928</v>
      </c>
    </row>
    <row r="18" spans="1:42" ht="23">
      <c r="A18" s="67" t="s">
        <v>26</v>
      </c>
      <c r="B18" s="67"/>
      <c r="C18" s="67"/>
      <c r="D18" s="67"/>
      <c r="E18" s="67"/>
      <c r="F18" s="67"/>
      <c r="G18" s="67"/>
      <c r="H18" s="67"/>
      <c r="I18" s="67"/>
      <c r="R18" s="23" t="str">
        <f t="shared" si="6"/>
        <v>Yr15</v>
      </c>
      <c r="S18" s="23">
        <f t="shared" si="7"/>
        <v>2481067</v>
      </c>
      <c r="T18" s="23">
        <f t="shared" si="3"/>
        <v>-19808.928</v>
      </c>
      <c r="AI18" s="23">
        <f>$S18+$T18-($F$29*$F$5)</f>
        <v>1470811.6720000003</v>
      </c>
      <c r="AJ18" s="23">
        <f>AJ17</f>
        <v>-19808.928</v>
      </c>
      <c r="AK18" s="23">
        <f t="shared" si="1"/>
        <v>-19808.928</v>
      </c>
      <c r="AL18" s="23">
        <f t="shared" si="1"/>
        <v>-19808.928</v>
      </c>
      <c r="AM18" s="23">
        <f t="shared" si="1"/>
        <v>-19808.928</v>
      </c>
      <c r="AN18" s="23">
        <f t="shared" si="1"/>
        <v>-19808.928</v>
      </c>
    </row>
    <row r="19" spans="1:42" ht="16.5">
      <c r="A19" s="13" t="s">
        <v>12</v>
      </c>
      <c r="F19" s="72" t="s">
        <v>83</v>
      </c>
      <c r="G19" s="70"/>
      <c r="H19" s="70"/>
      <c r="I19" s="70"/>
      <c r="R19" s="23" t="str">
        <f t="shared" si="6"/>
        <v>Yr16</v>
      </c>
      <c r="S19" s="23">
        <f t="shared" si="7"/>
        <v>2622956</v>
      </c>
      <c r="T19" s="23">
        <f t="shared" si="3"/>
        <v>-19808.928</v>
      </c>
      <c r="AJ19" s="23">
        <f>$S19+$T19-($F$29*$F$5)</f>
        <v>1612700.6720000003</v>
      </c>
      <c r="AK19" s="23">
        <f>AK18</f>
        <v>-19808.928</v>
      </c>
      <c r="AL19" s="23">
        <f t="shared" ref="AL19:AN21" si="8">AK19</f>
        <v>-19808.928</v>
      </c>
      <c r="AM19" s="23">
        <f t="shared" si="8"/>
        <v>-19808.928</v>
      </c>
      <c r="AN19" s="23">
        <f t="shared" si="8"/>
        <v>-19808.928</v>
      </c>
    </row>
    <row r="20" spans="1:42" ht="16.5">
      <c r="A20" s="13" t="s">
        <v>13</v>
      </c>
      <c r="F20" s="72">
        <v>40</v>
      </c>
      <c r="G20" s="70"/>
      <c r="H20" s="70"/>
      <c r="I20" s="70"/>
      <c r="R20" s="23" t="str">
        <f t="shared" si="6"/>
        <v>Yr17</v>
      </c>
      <c r="S20" s="23">
        <f t="shared" si="7"/>
        <v>2772679</v>
      </c>
      <c r="T20" s="23">
        <f t="shared" si="3"/>
        <v>-19808.928</v>
      </c>
      <c r="AK20" s="23">
        <f>$S20+$T20-($F$29*$F$5)</f>
        <v>1762423.6720000003</v>
      </c>
      <c r="AL20" s="23">
        <f>AL19</f>
        <v>-19808.928</v>
      </c>
      <c r="AM20" s="23">
        <f t="shared" si="8"/>
        <v>-19808.928</v>
      </c>
      <c r="AN20" s="23">
        <f t="shared" si="8"/>
        <v>-19808.928</v>
      </c>
    </row>
    <row r="21" spans="1:42" ht="16.5">
      <c r="A21" s="13" t="s">
        <v>14</v>
      </c>
      <c r="F21" s="69" t="s">
        <v>98</v>
      </c>
      <c r="G21" s="70"/>
      <c r="H21" s="70"/>
      <c r="I21" s="70"/>
      <c r="N21" s="4" t="s">
        <v>27</v>
      </c>
      <c r="O21" s="4" t="s">
        <v>60</v>
      </c>
      <c r="R21" s="23" t="str">
        <f t="shared" si="6"/>
        <v>Yr18</v>
      </c>
      <c r="S21" s="23">
        <f t="shared" si="7"/>
        <v>2930658</v>
      </c>
      <c r="T21" s="23">
        <f t="shared" si="3"/>
        <v>-19808.928</v>
      </c>
      <c r="AL21" s="23">
        <f>$S21+$T21-($F$29*$F$5)</f>
        <v>1920402.6720000003</v>
      </c>
      <c r="AM21" s="23">
        <f>AM20</f>
        <v>-19808.928</v>
      </c>
      <c r="AN21" s="23">
        <f t="shared" si="8"/>
        <v>-19808.928</v>
      </c>
    </row>
    <row r="22" spans="1:42" ht="16.5">
      <c r="R22" s="23" t="str">
        <f t="shared" si="6"/>
        <v>Yr19</v>
      </c>
      <c r="S22" s="23">
        <f t="shared" si="7"/>
        <v>3097356</v>
      </c>
      <c r="T22" s="23">
        <f t="shared" si="3"/>
        <v>-19808.928</v>
      </c>
      <c r="AM22" s="23">
        <f>$S22+$T22-($F$29*$F$5)</f>
        <v>2087100.6720000003</v>
      </c>
      <c r="AN22" s="23">
        <f>AN21</f>
        <v>-19808.928</v>
      </c>
    </row>
    <row r="23" spans="1:42" ht="23">
      <c r="A23" s="67" t="s">
        <v>25</v>
      </c>
      <c r="B23" s="67"/>
      <c r="C23" s="67"/>
      <c r="D23" s="67"/>
      <c r="E23" s="67"/>
      <c r="F23" s="67"/>
      <c r="G23" s="67"/>
      <c r="H23" s="67"/>
      <c r="I23" s="67"/>
      <c r="R23" s="23" t="str">
        <f t="shared" si="6"/>
        <v>Yr20</v>
      </c>
      <c r="S23" s="23">
        <f t="shared" si="7"/>
        <v>3273286</v>
      </c>
      <c r="T23" s="23">
        <f t="shared" si="3"/>
        <v>-19808.928</v>
      </c>
      <c r="AN23" s="23">
        <f>$S23+$T23-($F$29*$F$5)</f>
        <v>2263030.6720000003</v>
      </c>
    </row>
    <row r="24" spans="1:42" ht="16.5">
      <c r="A24" s="13" t="s">
        <v>15</v>
      </c>
      <c r="F24" s="69" t="s">
        <v>68</v>
      </c>
      <c r="G24" s="70"/>
      <c r="H24" s="70"/>
      <c r="I24" s="70"/>
      <c r="T24" s="23" t="s">
        <v>64</v>
      </c>
      <c r="U24" s="24">
        <f t="shared" ref="U24:AN24" si="9">IRR(U3:U23)</f>
        <v>-0.59734890336043533</v>
      </c>
      <c r="V24" s="24">
        <f t="shared" si="9"/>
        <v>-0.40101364037427845</v>
      </c>
      <c r="W24" s="24">
        <f t="shared" si="9"/>
        <v>-0.3167901490111934</v>
      </c>
      <c r="X24" s="24">
        <f t="shared" si="9"/>
        <v>-0.27072396141015509</v>
      </c>
      <c r="Y24" s="24">
        <f t="shared" si="9"/>
        <v>-8.0475686734317375E-2</v>
      </c>
      <c r="Z24" s="24">
        <f t="shared" si="9"/>
        <v>-3.2915676878256916E-2</v>
      </c>
      <c r="AA24" s="24">
        <f t="shared" si="9"/>
        <v>3.1336624385745138E-2</v>
      </c>
      <c r="AB24" s="24">
        <f t="shared" si="9"/>
        <v>6.1083474429004303E-2</v>
      </c>
      <c r="AC24" s="24">
        <f t="shared" si="9"/>
        <v>7.3023620523530175E-2</v>
      </c>
      <c r="AD24" s="24">
        <f t="shared" si="9"/>
        <v>8.1187983803414854E-2</v>
      </c>
      <c r="AE24" s="24">
        <f t="shared" si="9"/>
        <v>8.3317440518537733E-2</v>
      </c>
      <c r="AF24" s="24">
        <f t="shared" si="9"/>
        <v>8.4606353354052199E-2</v>
      </c>
      <c r="AG24" s="24">
        <f t="shared" si="9"/>
        <v>8.5323049175184185E-2</v>
      </c>
      <c r="AH24" s="24">
        <f t="shared" si="9"/>
        <v>8.5643152118075827E-2</v>
      </c>
      <c r="AI24" s="24">
        <f t="shared" si="9"/>
        <v>8.5686907636771892E-2</v>
      </c>
      <c r="AJ24" s="24">
        <f t="shared" si="9"/>
        <v>8.5406786135793222E-2</v>
      </c>
      <c r="AK24" s="24">
        <f t="shared" si="9"/>
        <v>8.5000383605926544E-2</v>
      </c>
      <c r="AL24" s="24">
        <f t="shared" si="9"/>
        <v>8.4507314766674391E-2</v>
      </c>
      <c r="AM24" s="24">
        <f t="shared" si="9"/>
        <v>8.395666386873879E-2</v>
      </c>
      <c r="AN24" s="24">
        <f t="shared" si="9"/>
        <v>8.3370131048318585E-2</v>
      </c>
    </row>
    <row r="25" spans="1:42" ht="16.5">
      <c r="A25" s="13" t="s">
        <v>16</v>
      </c>
      <c r="F25" s="69" t="s">
        <v>69</v>
      </c>
      <c r="G25" s="70"/>
      <c r="H25" s="70"/>
      <c r="I25" s="70"/>
      <c r="T25" s="23" t="s">
        <v>66</v>
      </c>
      <c r="U25" s="24">
        <f>(MAX(U3:U23)/-(SUM(U3:U23)-(MAX(U3:U23))))-1</f>
        <v>-0.59734890336043533</v>
      </c>
      <c r="V25" s="24">
        <f t="shared" ref="V25:AN25" si="10">(MAX(V3:V23)/-(SUM(V3:V23)-(MAX(V3:V23))))-1</f>
        <v>-0.62482466342517995</v>
      </c>
      <c r="W25" s="24">
        <f t="shared" si="10"/>
        <v>-0.64837745105452327</v>
      </c>
      <c r="X25" s="24">
        <f t="shared" si="10"/>
        <v>-0.66908369963205061</v>
      </c>
      <c r="Y25" s="24">
        <f t="shared" si="10"/>
        <v>-0.30705374859818491</v>
      </c>
      <c r="Z25" s="24">
        <f t="shared" si="10"/>
        <v>-0.15850745096247243</v>
      </c>
      <c r="AA25" s="24">
        <f t="shared" si="10"/>
        <v>0.2027781157514128</v>
      </c>
      <c r="AB25" s="24">
        <f t="shared" si="10"/>
        <v>0.49497060827930905</v>
      </c>
      <c r="AC25" s="24">
        <f t="shared" si="10"/>
        <v>0.70304519327344162</v>
      </c>
      <c r="AD25" s="24">
        <f t="shared" si="10"/>
        <v>0.91456595787308403</v>
      </c>
      <c r="AE25" s="24">
        <f t="shared" si="10"/>
        <v>1.0661113621242446</v>
      </c>
      <c r="AF25" s="24">
        <f t="shared" si="10"/>
        <v>1.2182446144640835</v>
      </c>
      <c r="AG25" s="24">
        <f t="shared" si="10"/>
        <v>1.3716840751345654</v>
      </c>
      <c r="AH25" s="24">
        <f t="shared" si="10"/>
        <v>1.5270346204795904</v>
      </c>
      <c r="AI25" s="24">
        <f t="shared" si="10"/>
        <v>1.684886655061447</v>
      </c>
      <c r="AJ25" s="24">
        <f t="shared" si="10"/>
        <v>1.8411605941448057</v>
      </c>
      <c r="AK25" s="24">
        <f t="shared" si="10"/>
        <v>2.000231059630253</v>
      </c>
      <c r="AL25" s="24">
        <f t="shared" si="10"/>
        <v>2.1625193218068235</v>
      </c>
      <c r="AM25" s="24">
        <f t="shared" si="10"/>
        <v>2.3284588037154896</v>
      </c>
      <c r="AN25" s="24">
        <f t="shared" si="10"/>
        <v>2.4985071338067577</v>
      </c>
    </row>
    <row r="26" spans="1:42" ht="16.5">
      <c r="A26" s="13" t="s">
        <v>70</v>
      </c>
      <c r="F26" s="78" t="s">
        <v>99</v>
      </c>
      <c r="G26" s="79"/>
      <c r="H26" s="79"/>
      <c r="I26" s="80"/>
      <c r="U26" s="24"/>
      <c r="V26" s="24"/>
      <c r="W26" s="24"/>
      <c r="X26" s="24"/>
      <c r="Y26" s="24"/>
      <c r="Z26" s="24"/>
      <c r="AA26" s="24"/>
      <c r="AB26" s="24"/>
      <c r="AC26" s="24"/>
      <c r="AD26" s="24"/>
      <c r="AE26" s="24"/>
      <c r="AF26" s="24"/>
      <c r="AG26" s="24"/>
      <c r="AH26" s="24"/>
      <c r="AI26" s="24"/>
      <c r="AJ26" s="24"/>
      <c r="AK26" s="24"/>
      <c r="AL26" s="24"/>
      <c r="AM26" s="24"/>
      <c r="AN26" s="24"/>
    </row>
    <row r="27" spans="1:42" ht="16.5">
      <c r="A27" s="13" t="s">
        <v>17</v>
      </c>
      <c r="F27" s="70">
        <v>1256971.08</v>
      </c>
      <c r="G27" s="70"/>
      <c r="H27" s="70"/>
      <c r="I27" s="70"/>
      <c r="U27" s="23">
        <f>SUM(U3:U23)</f>
        <v>-161574.79360000015</v>
      </c>
    </row>
    <row r="28" spans="1:42" ht="16.5">
      <c r="A28" s="13" t="s">
        <v>8</v>
      </c>
      <c r="F28" s="70">
        <v>1</v>
      </c>
      <c r="G28" s="70"/>
      <c r="H28" s="70"/>
      <c r="I28" s="70"/>
      <c r="J28" t="str">
        <f>N28</f>
        <v>yr</v>
      </c>
      <c r="N28" s="4" t="s">
        <v>30</v>
      </c>
      <c r="R28" s="77" t="s">
        <v>57</v>
      </c>
      <c r="S28" s="77"/>
      <c r="T28" s="77"/>
      <c r="U28" s="77"/>
      <c r="V28" s="77"/>
      <c r="W28" s="77"/>
      <c r="X28" s="77"/>
      <c r="Y28" s="77"/>
      <c r="Z28" s="77"/>
      <c r="AA28" s="77"/>
      <c r="AB28" s="77"/>
      <c r="AC28" s="77"/>
      <c r="AD28" s="77"/>
      <c r="AE28" s="77"/>
      <c r="AF28" s="77"/>
      <c r="AG28" s="77"/>
      <c r="AH28" s="77"/>
      <c r="AI28" s="77"/>
      <c r="AJ28" s="77"/>
      <c r="AK28" s="77"/>
      <c r="AL28" s="77"/>
      <c r="AM28" s="77"/>
      <c r="AN28" s="77"/>
      <c r="AP28" s="4">
        <f>F29/F27*F5</f>
        <v>0.7879627588567909</v>
      </c>
    </row>
    <row r="29" spans="1:42" ht="16.5">
      <c r="A29" s="13" t="s">
        <v>18</v>
      </c>
      <c r="F29" s="70">
        <v>1100496</v>
      </c>
      <c r="G29" s="70"/>
      <c r="H29" s="70"/>
      <c r="I29" s="70"/>
      <c r="R29" s="23" t="s">
        <v>54</v>
      </c>
      <c r="S29" s="23" t="s">
        <v>55</v>
      </c>
      <c r="T29" s="23" t="s">
        <v>56</v>
      </c>
      <c r="U29" s="23">
        <v>1</v>
      </c>
      <c r="V29" s="23">
        <v>2</v>
      </c>
      <c r="W29" s="23">
        <v>3</v>
      </c>
      <c r="X29" s="23">
        <v>4</v>
      </c>
      <c r="Y29" s="23">
        <v>5</v>
      </c>
      <c r="Z29" s="23">
        <v>6</v>
      </c>
      <c r="AA29" s="23">
        <v>7</v>
      </c>
      <c r="AB29" s="23">
        <v>8</v>
      </c>
      <c r="AC29" s="23">
        <v>9</v>
      </c>
      <c r="AD29" s="23">
        <v>10</v>
      </c>
      <c r="AE29" s="23">
        <v>11</v>
      </c>
      <c r="AF29" s="23">
        <v>12</v>
      </c>
      <c r="AG29" s="23">
        <v>13</v>
      </c>
      <c r="AH29" s="23">
        <v>14</v>
      </c>
      <c r="AI29" s="23">
        <v>15</v>
      </c>
      <c r="AJ29" s="23">
        <v>16</v>
      </c>
      <c r="AK29" s="23">
        <v>17</v>
      </c>
      <c r="AL29" s="23">
        <v>18</v>
      </c>
      <c r="AM29" s="23">
        <v>19</v>
      </c>
      <c r="AN29" s="23">
        <v>20</v>
      </c>
    </row>
    <row r="30" spans="1:42" ht="16.5">
      <c r="A30" s="13" t="s">
        <v>90</v>
      </c>
      <c r="F30" s="87"/>
      <c r="G30" s="88"/>
      <c r="H30" s="88"/>
      <c r="I30" s="89"/>
      <c r="J30" s="54"/>
      <c r="K30" s="54"/>
      <c r="L30" s="54"/>
      <c r="M30" s="54"/>
    </row>
    <row r="31" spans="1:42" ht="25">
      <c r="A31" s="13"/>
      <c r="B31" s="58" t="s">
        <v>33</v>
      </c>
      <c r="C31" s="58" t="s">
        <v>88</v>
      </c>
      <c r="D31" s="58" t="s">
        <v>89</v>
      </c>
      <c r="E31" s="57"/>
      <c r="F31" s="58" t="s">
        <v>33</v>
      </c>
      <c r="G31" s="58" t="s">
        <v>88</v>
      </c>
      <c r="H31" s="58" t="s">
        <v>89</v>
      </c>
      <c r="J31" s="58" t="s">
        <v>33</v>
      </c>
      <c r="K31" s="58" t="s">
        <v>88</v>
      </c>
      <c r="L31" s="58" t="s">
        <v>89</v>
      </c>
      <c r="R31" s="23" t="str">
        <f t="shared" ref="R31:S42" si="11">R3</f>
        <v>Yr0</v>
      </c>
      <c r="S31" s="23">
        <f t="shared" si="11"/>
        <v>1100496</v>
      </c>
      <c r="T31" s="23">
        <f>-$F$27</f>
        <v>-1256971.08</v>
      </c>
      <c r="U31" s="23">
        <f>T31</f>
        <v>-1256971.08</v>
      </c>
      <c r="V31" s="23">
        <f>U31</f>
        <v>-1256971.08</v>
      </c>
      <c r="W31" s="23">
        <f t="shared" ref="W31:AL33" si="12">V31</f>
        <v>-1256971.08</v>
      </c>
      <c r="X31" s="23">
        <f t="shared" si="12"/>
        <v>-1256971.08</v>
      </c>
      <c r="Y31" s="23">
        <f t="shared" si="12"/>
        <v>-1256971.08</v>
      </c>
      <c r="Z31" s="23">
        <f t="shared" si="12"/>
        <v>-1256971.08</v>
      </c>
      <c r="AA31" s="23">
        <f t="shared" si="12"/>
        <v>-1256971.08</v>
      </c>
      <c r="AB31" s="23">
        <f t="shared" si="12"/>
        <v>-1256971.08</v>
      </c>
      <c r="AC31" s="23">
        <f t="shared" si="12"/>
        <v>-1256971.08</v>
      </c>
      <c r="AD31" s="23">
        <f t="shared" si="12"/>
        <v>-1256971.08</v>
      </c>
      <c r="AE31" s="23">
        <f t="shared" si="12"/>
        <v>-1256971.08</v>
      </c>
      <c r="AF31" s="23">
        <f t="shared" si="12"/>
        <v>-1256971.08</v>
      </c>
      <c r="AG31" s="23">
        <f t="shared" si="12"/>
        <v>-1256971.08</v>
      </c>
      <c r="AH31" s="23">
        <f t="shared" si="12"/>
        <v>-1256971.08</v>
      </c>
      <c r="AI31" s="23">
        <f t="shared" si="12"/>
        <v>-1256971.08</v>
      </c>
      <c r="AJ31" s="23">
        <f t="shared" si="12"/>
        <v>-1256971.08</v>
      </c>
      <c r="AK31" s="23">
        <f t="shared" si="12"/>
        <v>-1256971.08</v>
      </c>
      <c r="AL31" s="23">
        <f t="shared" si="12"/>
        <v>-1256971.08</v>
      </c>
      <c r="AM31" s="23">
        <f t="shared" ref="Y31:AN45" si="13">AL31</f>
        <v>-1256971.08</v>
      </c>
      <c r="AN31" s="23">
        <f t="shared" si="13"/>
        <v>-1256971.08</v>
      </c>
    </row>
    <row r="32" spans="1:42" ht="16.5">
      <c r="A32" s="7" t="s">
        <v>34</v>
      </c>
      <c r="B32" s="55">
        <v>1119167</v>
      </c>
      <c r="C32" s="59"/>
      <c r="D32" s="59"/>
      <c r="E32" s="6" t="s">
        <v>44</v>
      </c>
      <c r="F32" s="55">
        <v>1978385</v>
      </c>
      <c r="G32" s="61"/>
      <c r="H32" s="59"/>
      <c r="I32" s="7" t="s">
        <v>91</v>
      </c>
      <c r="J32" s="60"/>
      <c r="K32" s="60"/>
      <c r="L32" s="60"/>
      <c r="N32" s="81"/>
      <c r="O32" s="81"/>
      <c r="P32" s="81"/>
      <c r="R32" s="23" t="str">
        <f t="shared" si="11"/>
        <v>Yr1</v>
      </c>
      <c r="S32" s="23">
        <f t="shared" si="11"/>
        <v>1119167</v>
      </c>
      <c r="T32" s="23">
        <v>0</v>
      </c>
      <c r="U32" s="23">
        <f>$S32</f>
        <v>1119167</v>
      </c>
      <c r="V32" s="23">
        <v>0</v>
      </c>
      <c r="W32" s="23">
        <f>V32</f>
        <v>0</v>
      </c>
      <c r="X32" s="23">
        <f t="shared" si="12"/>
        <v>0</v>
      </c>
      <c r="Y32" s="23">
        <f t="shared" si="12"/>
        <v>0</v>
      </c>
      <c r="Z32" s="23">
        <f t="shared" si="12"/>
        <v>0</v>
      </c>
      <c r="AA32" s="23">
        <f t="shared" si="12"/>
        <v>0</v>
      </c>
      <c r="AB32" s="23">
        <f t="shared" si="12"/>
        <v>0</v>
      </c>
      <c r="AC32" s="23">
        <f t="shared" si="12"/>
        <v>0</v>
      </c>
      <c r="AD32" s="23">
        <f t="shared" si="12"/>
        <v>0</v>
      </c>
      <c r="AE32" s="23">
        <f t="shared" si="12"/>
        <v>0</v>
      </c>
      <c r="AF32" s="23">
        <f t="shared" si="12"/>
        <v>0</v>
      </c>
      <c r="AG32" s="23">
        <f t="shared" si="12"/>
        <v>0</v>
      </c>
      <c r="AH32" s="23">
        <f t="shared" si="12"/>
        <v>0</v>
      </c>
      <c r="AI32" s="23">
        <f t="shared" si="12"/>
        <v>0</v>
      </c>
      <c r="AJ32" s="23">
        <f t="shared" si="12"/>
        <v>0</v>
      </c>
      <c r="AK32" s="23">
        <f t="shared" si="12"/>
        <v>0</v>
      </c>
      <c r="AL32" s="23">
        <f t="shared" si="12"/>
        <v>0</v>
      </c>
      <c r="AM32" s="23">
        <f t="shared" si="13"/>
        <v>0</v>
      </c>
      <c r="AN32" s="23">
        <f t="shared" si="13"/>
        <v>0</v>
      </c>
    </row>
    <row r="33" spans="1:40" ht="16.5">
      <c r="A33" s="7" t="s">
        <v>35</v>
      </c>
      <c r="B33" s="55">
        <v>1119167</v>
      </c>
      <c r="C33" s="59"/>
      <c r="D33" s="59"/>
      <c r="E33" s="6" t="s">
        <v>45</v>
      </c>
      <c r="F33" s="55">
        <v>2093612</v>
      </c>
      <c r="G33" s="59"/>
      <c r="H33" s="59"/>
      <c r="I33" s="7" t="s">
        <v>92</v>
      </c>
      <c r="J33" s="60"/>
      <c r="K33" s="60"/>
      <c r="L33" s="60"/>
      <c r="N33" s="81"/>
      <c r="O33" s="81"/>
      <c r="P33" s="81"/>
      <c r="R33" s="23" t="str">
        <f t="shared" si="11"/>
        <v>Yr2</v>
      </c>
      <c r="S33" s="23">
        <f t="shared" si="11"/>
        <v>1119167</v>
      </c>
      <c r="T33" s="23">
        <f>T32</f>
        <v>0</v>
      </c>
      <c r="V33" s="23">
        <f>$S33</f>
        <v>1119167</v>
      </c>
      <c r="W33" s="23">
        <f>W32</f>
        <v>0</v>
      </c>
      <c r="X33" s="23">
        <f t="shared" si="12"/>
        <v>0</v>
      </c>
      <c r="Y33" s="23">
        <f t="shared" si="12"/>
        <v>0</v>
      </c>
      <c r="Z33" s="23">
        <f t="shared" si="12"/>
        <v>0</v>
      </c>
      <c r="AA33" s="23">
        <f t="shared" si="12"/>
        <v>0</v>
      </c>
      <c r="AB33" s="23">
        <f t="shared" si="12"/>
        <v>0</v>
      </c>
      <c r="AC33" s="23">
        <f t="shared" si="12"/>
        <v>0</v>
      </c>
      <c r="AD33" s="23">
        <f t="shared" si="12"/>
        <v>0</v>
      </c>
      <c r="AE33" s="23">
        <f t="shared" si="12"/>
        <v>0</v>
      </c>
      <c r="AF33" s="23">
        <f t="shared" si="12"/>
        <v>0</v>
      </c>
      <c r="AG33" s="23">
        <f t="shared" si="12"/>
        <v>0</v>
      </c>
      <c r="AH33" s="23">
        <f t="shared" si="12"/>
        <v>0</v>
      </c>
      <c r="AI33" s="23">
        <f t="shared" si="12"/>
        <v>0</v>
      </c>
      <c r="AJ33" s="23">
        <f t="shared" si="12"/>
        <v>0</v>
      </c>
      <c r="AK33" s="23">
        <f t="shared" si="12"/>
        <v>0</v>
      </c>
      <c r="AL33" s="23">
        <f t="shared" si="12"/>
        <v>0</v>
      </c>
      <c r="AM33" s="23">
        <f t="shared" si="13"/>
        <v>0</v>
      </c>
      <c r="AN33" s="23">
        <f t="shared" si="13"/>
        <v>0</v>
      </c>
    </row>
    <row r="34" spans="1:40" ht="16.5">
      <c r="A34" s="7" t="s">
        <v>36</v>
      </c>
      <c r="B34" s="55">
        <v>1119295</v>
      </c>
      <c r="C34" s="59"/>
      <c r="D34" s="59"/>
      <c r="E34" s="6" t="s">
        <v>46</v>
      </c>
      <c r="F34" s="55">
        <v>2215530</v>
      </c>
      <c r="G34" s="59"/>
      <c r="H34" s="59"/>
      <c r="I34" s="7" t="s">
        <v>93</v>
      </c>
      <c r="J34" s="60"/>
      <c r="K34" s="60"/>
      <c r="L34" s="60"/>
      <c r="N34" s="81"/>
      <c r="O34" s="81"/>
      <c r="P34" s="81"/>
      <c r="R34" s="23" t="str">
        <f t="shared" si="11"/>
        <v>Yr3</v>
      </c>
      <c r="S34" s="23">
        <f t="shared" si="11"/>
        <v>1119295</v>
      </c>
      <c r="T34" s="23">
        <f t="shared" ref="T34:T48" si="14">T33</f>
        <v>0</v>
      </c>
      <c r="W34" s="23">
        <f>$S34</f>
        <v>1119295</v>
      </c>
      <c r="X34" s="23">
        <f>X33</f>
        <v>0</v>
      </c>
      <c r="Y34" s="23">
        <f t="shared" si="13"/>
        <v>0</v>
      </c>
      <c r="Z34" s="23">
        <f t="shared" si="13"/>
        <v>0</v>
      </c>
      <c r="AA34" s="23">
        <f t="shared" si="13"/>
        <v>0</v>
      </c>
      <c r="AB34" s="23">
        <f t="shared" si="13"/>
        <v>0</v>
      </c>
      <c r="AC34" s="23">
        <f t="shared" si="13"/>
        <v>0</v>
      </c>
      <c r="AD34" s="23">
        <f t="shared" si="13"/>
        <v>0</v>
      </c>
      <c r="AE34" s="23">
        <f t="shared" si="13"/>
        <v>0</v>
      </c>
      <c r="AF34" s="23">
        <f t="shared" si="13"/>
        <v>0</v>
      </c>
      <c r="AG34" s="23">
        <f t="shared" si="13"/>
        <v>0</v>
      </c>
      <c r="AH34" s="23">
        <f t="shared" si="13"/>
        <v>0</v>
      </c>
      <c r="AI34" s="23">
        <f t="shared" si="13"/>
        <v>0</v>
      </c>
      <c r="AJ34" s="23">
        <f t="shared" si="13"/>
        <v>0</v>
      </c>
      <c r="AK34" s="23">
        <f t="shared" si="13"/>
        <v>0</v>
      </c>
      <c r="AL34" s="23">
        <f t="shared" si="13"/>
        <v>0</v>
      </c>
      <c r="AM34" s="23">
        <f t="shared" si="13"/>
        <v>0</v>
      </c>
      <c r="AN34" s="23">
        <f t="shared" si="13"/>
        <v>0</v>
      </c>
    </row>
    <row r="35" spans="1:40" ht="16.5">
      <c r="A35" s="7" t="s">
        <v>37</v>
      </c>
      <c r="B35" s="55">
        <v>1119429</v>
      </c>
      <c r="C35" s="59"/>
      <c r="D35" s="59"/>
      <c r="E35" s="6" t="s">
        <v>47</v>
      </c>
      <c r="F35" s="55">
        <v>2344536</v>
      </c>
      <c r="G35" s="59"/>
      <c r="H35" s="59"/>
      <c r="I35" s="7" t="s">
        <v>94</v>
      </c>
      <c r="J35" s="60"/>
      <c r="K35" s="60"/>
      <c r="L35" s="60"/>
      <c r="N35" s="81"/>
      <c r="O35" s="81"/>
      <c r="P35" s="81"/>
      <c r="R35" s="23" t="str">
        <f t="shared" si="11"/>
        <v>Yr4</v>
      </c>
      <c r="S35" s="23">
        <f t="shared" si="11"/>
        <v>1119429</v>
      </c>
      <c r="T35" s="23">
        <f t="shared" si="14"/>
        <v>0</v>
      </c>
      <c r="X35" s="23">
        <f>$S35</f>
        <v>1119429</v>
      </c>
      <c r="Y35" s="23">
        <f>Y34</f>
        <v>0</v>
      </c>
      <c r="Z35" s="23">
        <f t="shared" si="13"/>
        <v>0</v>
      </c>
      <c r="AA35" s="23">
        <f t="shared" si="13"/>
        <v>0</v>
      </c>
      <c r="AB35" s="23">
        <f t="shared" si="13"/>
        <v>0</v>
      </c>
      <c r="AC35" s="23">
        <f t="shared" si="13"/>
        <v>0</v>
      </c>
      <c r="AD35" s="23">
        <f t="shared" si="13"/>
        <v>0</v>
      </c>
      <c r="AE35" s="23">
        <f t="shared" si="13"/>
        <v>0</v>
      </c>
      <c r="AF35" s="23">
        <f t="shared" si="13"/>
        <v>0</v>
      </c>
      <c r="AG35" s="23">
        <f t="shared" si="13"/>
        <v>0</v>
      </c>
      <c r="AH35" s="23">
        <f t="shared" si="13"/>
        <v>0</v>
      </c>
      <c r="AI35" s="23">
        <f t="shared" si="13"/>
        <v>0</v>
      </c>
      <c r="AJ35" s="23">
        <f t="shared" si="13"/>
        <v>0</v>
      </c>
      <c r="AK35" s="23">
        <f t="shared" si="13"/>
        <v>0</v>
      </c>
      <c r="AL35" s="23">
        <f t="shared" si="13"/>
        <v>0</v>
      </c>
      <c r="AM35" s="23">
        <f t="shared" si="13"/>
        <v>0</v>
      </c>
      <c r="AN35" s="23">
        <f t="shared" si="13"/>
        <v>0</v>
      </c>
    </row>
    <row r="36" spans="1:40" ht="16.5">
      <c r="A36" s="7" t="s">
        <v>38</v>
      </c>
      <c r="B36" s="55">
        <v>1252594</v>
      </c>
      <c r="C36" s="59"/>
      <c r="D36" s="59"/>
      <c r="E36" s="6" t="s">
        <v>48</v>
      </c>
      <c r="F36" s="55">
        <v>2481067</v>
      </c>
      <c r="G36" s="59"/>
      <c r="H36" s="59"/>
      <c r="I36" s="7" t="s">
        <v>95</v>
      </c>
      <c r="J36" s="60"/>
      <c r="K36" s="60"/>
      <c r="L36" s="60"/>
      <c r="N36" s="81"/>
      <c r="O36" s="81"/>
      <c r="P36" s="81"/>
      <c r="R36" s="23" t="str">
        <f t="shared" si="11"/>
        <v>Yr5</v>
      </c>
      <c r="S36" s="23">
        <f t="shared" si="11"/>
        <v>1252594</v>
      </c>
      <c r="T36" s="23">
        <f t="shared" si="14"/>
        <v>0</v>
      </c>
      <c r="Y36" s="23">
        <f>$S36</f>
        <v>1252594</v>
      </c>
      <c r="Z36" s="23">
        <f>Z35</f>
        <v>0</v>
      </c>
      <c r="AA36" s="23">
        <f t="shared" si="13"/>
        <v>0</v>
      </c>
      <c r="AB36" s="23">
        <f t="shared" si="13"/>
        <v>0</v>
      </c>
      <c r="AC36" s="23">
        <f t="shared" si="13"/>
        <v>0</v>
      </c>
      <c r="AD36" s="23">
        <f t="shared" si="13"/>
        <v>0</v>
      </c>
      <c r="AE36" s="23">
        <f t="shared" si="13"/>
        <v>0</v>
      </c>
      <c r="AF36" s="23">
        <f t="shared" si="13"/>
        <v>0</v>
      </c>
      <c r="AG36" s="23">
        <f t="shared" si="13"/>
        <v>0</v>
      </c>
      <c r="AH36" s="23">
        <f t="shared" si="13"/>
        <v>0</v>
      </c>
      <c r="AI36" s="23">
        <f t="shared" si="13"/>
        <v>0</v>
      </c>
      <c r="AJ36" s="23">
        <f t="shared" si="13"/>
        <v>0</v>
      </c>
      <c r="AK36" s="23">
        <f t="shared" si="13"/>
        <v>0</v>
      </c>
      <c r="AL36" s="23">
        <f t="shared" si="13"/>
        <v>0</v>
      </c>
      <c r="AM36" s="23">
        <f t="shared" si="13"/>
        <v>0</v>
      </c>
      <c r="AN36" s="23">
        <f t="shared" si="13"/>
        <v>0</v>
      </c>
    </row>
    <row r="37" spans="1:40" ht="16.5">
      <c r="A37" s="7" t="s">
        <v>39</v>
      </c>
      <c r="B37" s="55">
        <v>1321213</v>
      </c>
      <c r="C37" s="59"/>
      <c r="D37" s="59"/>
      <c r="E37" s="6" t="s">
        <v>49</v>
      </c>
      <c r="F37" s="55">
        <v>2622956</v>
      </c>
      <c r="G37" s="59"/>
      <c r="H37" s="59"/>
      <c r="I37" s="7" t="s">
        <v>96</v>
      </c>
      <c r="J37" s="60"/>
      <c r="K37" s="60"/>
      <c r="L37" s="60"/>
      <c r="N37" s="81"/>
      <c r="O37" s="81"/>
      <c r="P37" s="81"/>
      <c r="R37" s="23" t="str">
        <f t="shared" si="11"/>
        <v>Yr6</v>
      </c>
      <c r="S37" s="23">
        <f t="shared" si="11"/>
        <v>1321213</v>
      </c>
      <c r="T37" s="23">
        <f t="shared" si="14"/>
        <v>0</v>
      </c>
      <c r="Z37" s="23">
        <f>$S37</f>
        <v>1321213</v>
      </c>
      <c r="AA37" s="23">
        <f>AA36</f>
        <v>0</v>
      </c>
      <c r="AB37" s="23">
        <f t="shared" si="13"/>
        <v>0</v>
      </c>
      <c r="AC37" s="23">
        <f t="shared" si="13"/>
        <v>0</v>
      </c>
      <c r="AD37" s="23">
        <f t="shared" si="13"/>
        <v>0</v>
      </c>
      <c r="AE37" s="23">
        <f t="shared" si="13"/>
        <v>0</v>
      </c>
      <c r="AF37" s="23">
        <f t="shared" si="13"/>
        <v>0</v>
      </c>
      <c r="AG37" s="23">
        <f t="shared" si="13"/>
        <v>0</v>
      </c>
      <c r="AH37" s="23">
        <f t="shared" si="13"/>
        <v>0</v>
      </c>
      <c r="AI37" s="23">
        <f t="shared" si="13"/>
        <v>0</v>
      </c>
      <c r="AJ37" s="23">
        <f t="shared" si="13"/>
        <v>0</v>
      </c>
      <c r="AK37" s="23">
        <f t="shared" si="13"/>
        <v>0</v>
      </c>
      <c r="AL37" s="23">
        <f t="shared" si="13"/>
        <v>0</v>
      </c>
      <c r="AM37" s="23">
        <f t="shared" si="13"/>
        <v>0</v>
      </c>
      <c r="AN37" s="23">
        <f t="shared" si="13"/>
        <v>0</v>
      </c>
    </row>
    <row r="38" spans="1:40" ht="16.5">
      <c r="A38" s="7" t="s">
        <v>40</v>
      </c>
      <c r="B38" s="55">
        <v>1478545</v>
      </c>
      <c r="C38" s="59"/>
      <c r="D38" s="59"/>
      <c r="E38" s="6" t="s">
        <v>50</v>
      </c>
      <c r="F38" s="55">
        <v>2772679</v>
      </c>
      <c r="G38" s="59"/>
      <c r="H38" s="59"/>
      <c r="I38"/>
      <c r="N38" s="81"/>
      <c r="O38" s="81"/>
      <c r="P38" s="81"/>
      <c r="R38" s="23" t="str">
        <f t="shared" si="11"/>
        <v>Yr7</v>
      </c>
      <c r="S38" s="23">
        <f t="shared" si="11"/>
        <v>1478545</v>
      </c>
      <c r="T38" s="23">
        <f t="shared" si="14"/>
        <v>0</v>
      </c>
      <c r="AA38" s="23">
        <f>$S38</f>
        <v>1478545</v>
      </c>
      <c r="AB38" s="23">
        <f>AB37</f>
        <v>0</v>
      </c>
      <c r="AC38" s="23">
        <f t="shared" si="13"/>
        <v>0</v>
      </c>
      <c r="AD38" s="23">
        <f t="shared" si="13"/>
        <v>0</v>
      </c>
      <c r="AE38" s="23">
        <f t="shared" si="13"/>
        <v>0</v>
      </c>
      <c r="AF38" s="23">
        <f t="shared" si="13"/>
        <v>0</v>
      </c>
      <c r="AG38" s="23">
        <f t="shared" si="13"/>
        <v>0</v>
      </c>
      <c r="AH38" s="23">
        <f t="shared" si="13"/>
        <v>0</v>
      </c>
      <c r="AI38" s="23">
        <f t="shared" si="13"/>
        <v>0</v>
      </c>
      <c r="AJ38" s="23">
        <f t="shared" si="13"/>
        <v>0</v>
      </c>
      <c r="AK38" s="23">
        <f t="shared" si="13"/>
        <v>0</v>
      </c>
      <c r="AL38" s="23">
        <f t="shared" si="13"/>
        <v>0</v>
      </c>
      <c r="AM38" s="23">
        <f t="shared" si="13"/>
        <v>0</v>
      </c>
      <c r="AN38" s="23">
        <f t="shared" si="13"/>
        <v>0</v>
      </c>
    </row>
    <row r="39" spans="1:40" ht="16.5">
      <c r="A39" s="7" t="s">
        <v>41</v>
      </c>
      <c r="B39" s="55">
        <v>1621921</v>
      </c>
      <c r="C39" s="59"/>
      <c r="D39" s="59"/>
      <c r="E39" s="6" t="s">
        <v>51</v>
      </c>
      <c r="F39" s="55">
        <v>2930658</v>
      </c>
      <c r="G39" s="59"/>
      <c r="H39" s="59"/>
      <c r="I39"/>
      <c r="N39" s="81"/>
      <c r="O39" s="81"/>
      <c r="P39" s="81"/>
      <c r="R39" s="23" t="str">
        <f t="shared" si="11"/>
        <v>Yr8</v>
      </c>
      <c r="S39" s="23">
        <f t="shared" si="11"/>
        <v>1621921</v>
      </c>
      <c r="T39" s="23">
        <f t="shared" si="14"/>
        <v>0</v>
      </c>
      <c r="AB39" s="23">
        <f>$S39</f>
        <v>1621921</v>
      </c>
      <c r="AC39" s="23">
        <f>AC38</f>
        <v>0</v>
      </c>
      <c r="AD39" s="23">
        <f t="shared" si="13"/>
        <v>0</v>
      </c>
      <c r="AE39" s="23">
        <f t="shared" si="13"/>
        <v>0</v>
      </c>
      <c r="AF39" s="23">
        <f t="shared" si="13"/>
        <v>0</v>
      </c>
      <c r="AG39" s="23">
        <f t="shared" si="13"/>
        <v>0</v>
      </c>
      <c r="AH39" s="23">
        <f t="shared" si="13"/>
        <v>0</v>
      </c>
      <c r="AI39" s="23">
        <f t="shared" si="13"/>
        <v>0</v>
      </c>
      <c r="AJ39" s="23">
        <f t="shared" si="13"/>
        <v>0</v>
      </c>
      <c r="AK39" s="23">
        <f t="shared" si="13"/>
        <v>0</v>
      </c>
      <c r="AL39" s="23">
        <f t="shared" si="13"/>
        <v>0</v>
      </c>
      <c r="AM39" s="23">
        <f t="shared" si="13"/>
        <v>0</v>
      </c>
      <c r="AN39" s="23">
        <f t="shared" si="13"/>
        <v>0</v>
      </c>
    </row>
    <row r="40" spans="1:40" ht="16.5">
      <c r="A40" s="7" t="s">
        <v>42</v>
      </c>
      <c r="B40" s="55">
        <v>1740790</v>
      </c>
      <c r="C40" s="59"/>
      <c r="D40" s="59"/>
      <c r="E40" s="6" t="s">
        <v>52</v>
      </c>
      <c r="F40" s="55">
        <v>3097356</v>
      </c>
      <c r="G40" s="59"/>
      <c r="H40" s="59"/>
      <c r="I40"/>
      <c r="N40" s="81"/>
      <c r="O40" s="81"/>
      <c r="P40" s="81"/>
      <c r="R40" s="23" t="str">
        <f t="shared" si="11"/>
        <v>Yr9</v>
      </c>
      <c r="S40" s="23">
        <f t="shared" si="11"/>
        <v>1740790</v>
      </c>
      <c r="T40" s="23">
        <f t="shared" si="14"/>
        <v>0</v>
      </c>
      <c r="AC40" s="23">
        <f>$S40</f>
        <v>1740790</v>
      </c>
      <c r="AD40" s="23">
        <f>AD39</f>
        <v>0</v>
      </c>
      <c r="AE40" s="23">
        <f t="shared" si="13"/>
        <v>0</v>
      </c>
      <c r="AF40" s="23">
        <f t="shared" si="13"/>
        <v>0</v>
      </c>
      <c r="AG40" s="23">
        <f t="shared" si="13"/>
        <v>0</v>
      </c>
      <c r="AH40" s="23">
        <f t="shared" si="13"/>
        <v>0</v>
      </c>
      <c r="AI40" s="23">
        <f t="shared" si="13"/>
        <v>0</v>
      </c>
      <c r="AJ40" s="23">
        <f t="shared" si="13"/>
        <v>0</v>
      </c>
      <c r="AK40" s="23">
        <f t="shared" si="13"/>
        <v>0</v>
      </c>
      <c r="AL40" s="23">
        <f t="shared" si="13"/>
        <v>0</v>
      </c>
      <c r="AM40" s="23">
        <f t="shared" si="13"/>
        <v>0</v>
      </c>
      <c r="AN40" s="23">
        <f t="shared" si="13"/>
        <v>0</v>
      </c>
    </row>
    <row r="41" spans="1:40" ht="16.5">
      <c r="A41" s="7" t="s">
        <v>43</v>
      </c>
      <c r="B41" s="55">
        <v>1869449</v>
      </c>
      <c r="C41" s="59"/>
      <c r="D41" s="59"/>
      <c r="E41" s="6" t="s">
        <v>53</v>
      </c>
      <c r="F41" s="55">
        <v>3273286</v>
      </c>
      <c r="G41" s="59"/>
      <c r="H41" s="59"/>
      <c r="I41"/>
      <c r="N41" s="81"/>
      <c r="O41" s="81"/>
      <c r="P41" s="81"/>
      <c r="R41" s="23" t="str">
        <f t="shared" si="11"/>
        <v>Yr10</v>
      </c>
      <c r="S41" s="23">
        <f t="shared" si="11"/>
        <v>1869449</v>
      </c>
      <c r="T41" s="23">
        <f t="shared" si="14"/>
        <v>0</v>
      </c>
      <c r="AD41" s="23">
        <f>$S41</f>
        <v>1869449</v>
      </c>
      <c r="AE41" s="23">
        <f>AE40</f>
        <v>0</v>
      </c>
      <c r="AF41" s="23">
        <f t="shared" si="13"/>
        <v>0</v>
      </c>
      <c r="AG41" s="23">
        <f t="shared" si="13"/>
        <v>0</v>
      </c>
      <c r="AH41" s="23">
        <f t="shared" si="13"/>
        <v>0</v>
      </c>
      <c r="AI41" s="23">
        <f t="shared" si="13"/>
        <v>0</v>
      </c>
      <c r="AJ41" s="23">
        <f t="shared" si="13"/>
        <v>0</v>
      </c>
      <c r="AK41" s="23">
        <f t="shared" si="13"/>
        <v>0</v>
      </c>
      <c r="AL41" s="23">
        <f t="shared" si="13"/>
        <v>0</v>
      </c>
      <c r="AM41" s="23">
        <f t="shared" si="13"/>
        <v>0</v>
      </c>
      <c r="AN41" s="23">
        <f t="shared" si="13"/>
        <v>0</v>
      </c>
    </row>
    <row r="42" spans="1:40" ht="16.5">
      <c r="A42" s="13"/>
      <c r="F42"/>
      <c r="G42" s="53"/>
      <c r="H42" s="53"/>
      <c r="I42"/>
      <c r="R42" s="23" t="str">
        <f t="shared" si="11"/>
        <v>Yr11</v>
      </c>
      <c r="S42" s="23">
        <f t="shared" si="11"/>
        <v>1978385</v>
      </c>
      <c r="T42" s="23">
        <f t="shared" si="14"/>
        <v>0</v>
      </c>
      <c r="AE42" s="23">
        <f>$S42</f>
        <v>1978385</v>
      </c>
      <c r="AF42" s="23">
        <f>AF41</f>
        <v>0</v>
      </c>
      <c r="AG42" s="23">
        <f t="shared" si="13"/>
        <v>0</v>
      </c>
      <c r="AH42" s="23">
        <f t="shared" si="13"/>
        <v>0</v>
      </c>
      <c r="AI42" s="23">
        <f t="shared" si="13"/>
        <v>0</v>
      </c>
      <c r="AJ42" s="23">
        <f t="shared" si="13"/>
        <v>0</v>
      </c>
      <c r="AK42" s="23">
        <f t="shared" si="13"/>
        <v>0</v>
      </c>
      <c r="AL42" s="23">
        <f t="shared" si="13"/>
        <v>0</v>
      </c>
      <c r="AM42" s="23">
        <f t="shared" si="13"/>
        <v>0</v>
      </c>
      <c r="AN42" s="23">
        <f t="shared" si="13"/>
        <v>0</v>
      </c>
    </row>
    <row r="43" spans="1:40" ht="16.5">
      <c r="R43" s="23" t="str">
        <f t="shared" ref="R43:S48" si="15">R16</f>
        <v>Yr13</v>
      </c>
      <c r="S43" s="23">
        <f t="shared" si="15"/>
        <v>2215530</v>
      </c>
      <c r="T43" s="23" t="e">
        <f>#REF!</f>
        <v>#REF!</v>
      </c>
      <c r="AG43" s="23">
        <f>$S43</f>
        <v>2215530</v>
      </c>
      <c r="AH43" s="23" t="e">
        <f>#REF!</f>
        <v>#REF!</v>
      </c>
      <c r="AI43" s="23" t="e">
        <f t="shared" si="13"/>
        <v>#REF!</v>
      </c>
      <c r="AJ43" s="23" t="e">
        <f t="shared" si="13"/>
        <v>#REF!</v>
      </c>
      <c r="AK43" s="23" t="e">
        <f t="shared" si="13"/>
        <v>#REF!</v>
      </c>
      <c r="AL43" s="23" t="e">
        <f t="shared" si="13"/>
        <v>#REF!</v>
      </c>
      <c r="AM43" s="23" t="e">
        <f t="shared" si="13"/>
        <v>#REF!</v>
      </c>
      <c r="AN43" s="23" t="e">
        <f t="shared" si="13"/>
        <v>#REF!</v>
      </c>
    </row>
    <row r="44" spans="1:40" ht="23">
      <c r="A44" s="67" t="s">
        <v>19</v>
      </c>
      <c r="B44" s="67"/>
      <c r="C44" s="67"/>
      <c r="D44" s="67"/>
      <c r="E44" s="67"/>
      <c r="F44" s="67"/>
      <c r="G44" s="67"/>
      <c r="H44" s="67"/>
      <c r="I44" s="67"/>
      <c r="R44" s="23" t="str">
        <f t="shared" si="15"/>
        <v>Yr14</v>
      </c>
      <c r="S44" s="23">
        <f t="shared" si="15"/>
        <v>2344536</v>
      </c>
      <c r="T44" s="23" t="e">
        <f t="shared" si="14"/>
        <v>#REF!</v>
      </c>
      <c r="AH44" s="23">
        <f>$S44</f>
        <v>2344536</v>
      </c>
      <c r="AI44" s="23" t="e">
        <f>AI43</f>
        <v>#REF!</v>
      </c>
      <c r="AJ44" s="23" t="e">
        <f t="shared" si="13"/>
        <v>#REF!</v>
      </c>
      <c r="AK44" s="23" t="e">
        <f t="shared" si="13"/>
        <v>#REF!</v>
      </c>
      <c r="AL44" s="23" t="e">
        <f t="shared" si="13"/>
        <v>#REF!</v>
      </c>
      <c r="AM44" s="23" t="e">
        <f t="shared" si="13"/>
        <v>#REF!</v>
      </c>
      <c r="AN44" s="23" t="e">
        <f t="shared" si="13"/>
        <v>#REF!</v>
      </c>
    </row>
    <row r="45" spans="1:40" ht="16.5">
      <c r="A45" s="14" t="s">
        <v>22</v>
      </c>
      <c r="F45" s="86">
        <v>-2E-3</v>
      </c>
      <c r="G45" s="70"/>
      <c r="H45" s="70"/>
      <c r="I45" s="70"/>
      <c r="R45" s="23" t="str">
        <f t="shared" si="15"/>
        <v>Yr15</v>
      </c>
      <c r="S45" s="23">
        <f t="shared" si="15"/>
        <v>2481067</v>
      </c>
      <c r="T45" s="23" t="e">
        <f t="shared" si="14"/>
        <v>#REF!</v>
      </c>
      <c r="AI45" s="23">
        <f>$S45</f>
        <v>2481067</v>
      </c>
      <c r="AJ45" s="23" t="e">
        <f>AJ44</f>
        <v>#REF!</v>
      </c>
      <c r="AK45" s="23" t="e">
        <f t="shared" si="13"/>
        <v>#REF!</v>
      </c>
      <c r="AL45" s="23" t="e">
        <f t="shared" si="13"/>
        <v>#REF!</v>
      </c>
      <c r="AM45" s="23" t="e">
        <f t="shared" si="13"/>
        <v>#REF!</v>
      </c>
      <c r="AN45" s="23" t="e">
        <f t="shared" si="13"/>
        <v>#REF!</v>
      </c>
    </row>
    <row r="46" spans="1:40" ht="16.5">
      <c r="A46" s="14" t="s">
        <v>21</v>
      </c>
      <c r="F46" s="82" t="s">
        <v>86</v>
      </c>
      <c r="G46" s="82"/>
      <c r="H46" s="82"/>
      <c r="I46" s="82"/>
      <c r="R46" s="23" t="str">
        <f t="shared" si="15"/>
        <v>Yr16</v>
      </c>
      <c r="S46" s="23">
        <f t="shared" si="15"/>
        <v>2622956</v>
      </c>
      <c r="T46" s="23" t="e">
        <f t="shared" si="14"/>
        <v>#REF!</v>
      </c>
      <c r="AJ46" s="23">
        <f>$S46</f>
        <v>2622956</v>
      </c>
      <c r="AK46" s="23" t="e">
        <f>AK45</f>
        <v>#REF!</v>
      </c>
      <c r="AL46" s="23" t="e">
        <f t="shared" ref="AL46:AN48" si="16">AK46</f>
        <v>#REF!</v>
      </c>
      <c r="AM46" s="23" t="e">
        <f t="shared" si="16"/>
        <v>#REF!</v>
      </c>
      <c r="AN46" s="23" t="e">
        <f t="shared" si="16"/>
        <v>#REF!</v>
      </c>
    </row>
    <row r="47" spans="1:40" ht="16.5">
      <c r="A47" s="14" t="s">
        <v>20</v>
      </c>
      <c r="F47" s="86">
        <v>2E-3</v>
      </c>
      <c r="G47" s="70"/>
      <c r="H47" s="70"/>
      <c r="I47" s="70"/>
      <c r="R47" s="23" t="str">
        <f t="shared" si="15"/>
        <v>Yr17</v>
      </c>
      <c r="S47" s="23">
        <f t="shared" si="15"/>
        <v>2772679</v>
      </c>
      <c r="T47" s="23" t="e">
        <f t="shared" si="14"/>
        <v>#REF!</v>
      </c>
      <c r="AK47" s="23">
        <f>$S47</f>
        <v>2772679</v>
      </c>
      <c r="AL47" s="23" t="e">
        <f>AL46</f>
        <v>#REF!</v>
      </c>
      <c r="AM47" s="23" t="e">
        <f t="shared" si="16"/>
        <v>#REF!</v>
      </c>
      <c r="AN47" s="23" t="e">
        <f t="shared" si="16"/>
        <v>#REF!</v>
      </c>
    </row>
    <row r="48" spans="1:40" ht="16.5">
      <c r="R48" s="23" t="str">
        <f t="shared" si="15"/>
        <v>Yr18</v>
      </c>
      <c r="S48" s="23">
        <f t="shared" si="15"/>
        <v>2930658</v>
      </c>
      <c r="T48" s="23" t="e">
        <f t="shared" si="14"/>
        <v>#REF!</v>
      </c>
      <c r="AL48" s="23">
        <f>$S48</f>
        <v>2930658</v>
      </c>
      <c r="AM48" s="23" t="e">
        <f>AM47</f>
        <v>#REF!</v>
      </c>
      <c r="AN48" s="23" t="e">
        <f t="shared" si="16"/>
        <v>#REF!</v>
      </c>
    </row>
    <row r="50" spans="1:16" ht="20.149999999999999" customHeight="1">
      <c r="A50" s="67" t="s">
        <v>76</v>
      </c>
      <c r="B50" s="67"/>
      <c r="C50" s="67"/>
      <c r="D50" s="67"/>
      <c r="E50" s="67"/>
      <c r="F50" s="67"/>
      <c r="G50" s="67"/>
      <c r="H50" s="67"/>
      <c r="I50" s="67"/>
    </row>
    <row r="51" spans="1:16" ht="20.149999999999999" customHeight="1">
      <c r="A51" s="4" t="s">
        <v>77</v>
      </c>
      <c r="F51" s="83" t="s">
        <v>80</v>
      </c>
      <c r="G51" s="84"/>
      <c r="H51" s="84"/>
      <c r="I51" s="85"/>
      <c r="K51" s="62" t="str">
        <f>F51</f>
        <v>Hide</v>
      </c>
    </row>
    <row r="52" spans="1:16" ht="20.149999999999999" customHeight="1">
      <c r="A52" s="4" t="s">
        <v>78</v>
      </c>
      <c r="F52" s="82" t="s">
        <v>80</v>
      </c>
      <c r="G52" s="82"/>
      <c r="H52" s="82"/>
      <c r="I52" s="82"/>
      <c r="K52" s="62" t="str">
        <f t="shared" ref="K52:K53" si="17">F52</f>
        <v>Hide</v>
      </c>
    </row>
    <row r="53" spans="1:16" ht="20.149999999999999" customHeight="1">
      <c r="A53" s="4" t="s">
        <v>79</v>
      </c>
      <c r="F53" s="82" t="s">
        <v>80</v>
      </c>
      <c r="G53" s="82"/>
      <c r="H53" s="82"/>
      <c r="I53" s="82"/>
      <c r="K53" s="62" t="str">
        <f t="shared" si="17"/>
        <v>Hide</v>
      </c>
    </row>
    <row r="54" spans="1:16" ht="20.149999999999999" customHeight="1">
      <c r="A54" s="4" t="s">
        <v>100</v>
      </c>
      <c r="F54" s="83" t="s">
        <v>102</v>
      </c>
      <c r="G54" s="84"/>
      <c r="H54" s="84"/>
      <c r="I54" s="85"/>
      <c r="N54" s="4" t="s">
        <v>101</v>
      </c>
      <c r="O54" s="112" t="s">
        <v>103</v>
      </c>
      <c r="P54" s="112"/>
    </row>
  </sheetData>
  <sheetProtection algorithmName="SHA-512" hashValue="b4f/kPtxA1mQHrNZjpoMCdVXb4Jc3dTuQqqJtu/ajbEHeFFWRtIF8S2kgUBMzj2aub7uDm3j+BDciMem8neZgA==" saltValue="g2eBn/asxPeORygXt90W6w==" spinCount="100000" sheet="1" formatCells="0" formatColumns="0" formatRows="0" insertColumns="0" insertRows="0" insertHyperlinks="0" deleteColumns="0" deleteRows="0" sort="0" autoFilter="0" pivotTables="0"/>
  <protectedRanges>
    <protectedRange sqref="F54:I54" name="Range9"/>
    <protectedRange sqref="F45:I47" name="Range4"/>
    <protectedRange sqref="B32:D41" name="Range9_1"/>
    <protectedRange sqref="F32:H41" name="Range9_2"/>
    <protectedRange sqref="F51:I53" name="Range3"/>
    <protectedRange sqref="B32:L41" name="Range5"/>
    <protectedRange sqref="F24:I30" name="Range6"/>
    <protectedRange sqref="F19:I21" name="Range7"/>
    <protectedRange sqref="F4:I16" name="Range8"/>
  </protectedRanges>
  <mergeCells count="48">
    <mergeCell ref="F54:I54"/>
    <mergeCell ref="F53:I53"/>
    <mergeCell ref="R28:AN28"/>
    <mergeCell ref="N39:P39"/>
    <mergeCell ref="N40:P40"/>
    <mergeCell ref="N41:P41"/>
    <mergeCell ref="F29:I29"/>
    <mergeCell ref="A50:I50"/>
    <mergeCell ref="F51:I51"/>
    <mergeCell ref="F52:I52"/>
    <mergeCell ref="F47:I47"/>
    <mergeCell ref="A44:I44"/>
    <mergeCell ref="F45:I45"/>
    <mergeCell ref="F46:I46"/>
    <mergeCell ref="F28:I28"/>
    <mergeCell ref="F30:I30"/>
    <mergeCell ref="R1:AN1"/>
    <mergeCell ref="F26:I26"/>
    <mergeCell ref="N37:P37"/>
    <mergeCell ref="N38:P38"/>
    <mergeCell ref="N32:P32"/>
    <mergeCell ref="N33:P33"/>
    <mergeCell ref="N34:P34"/>
    <mergeCell ref="N35:P35"/>
    <mergeCell ref="N36:P36"/>
    <mergeCell ref="A23:I23"/>
    <mergeCell ref="F24:I24"/>
    <mergeCell ref="F15:I15"/>
    <mergeCell ref="F13:I13"/>
    <mergeCell ref="F14:I14"/>
    <mergeCell ref="F6:I6"/>
    <mergeCell ref="F7:I7"/>
    <mergeCell ref="F9:I9"/>
    <mergeCell ref="A1:I1"/>
    <mergeCell ref="A3:I3"/>
    <mergeCell ref="F25:I25"/>
    <mergeCell ref="F27:I27"/>
    <mergeCell ref="F4:I4"/>
    <mergeCell ref="A18:I18"/>
    <mergeCell ref="F19:I19"/>
    <mergeCell ref="F20:I20"/>
    <mergeCell ref="F21:I21"/>
    <mergeCell ref="F10:I10"/>
    <mergeCell ref="F16:I16"/>
    <mergeCell ref="F5:I5"/>
    <mergeCell ref="F8:I8"/>
    <mergeCell ref="F11:I11"/>
    <mergeCell ref="F12:I12"/>
  </mergeCells>
  <phoneticPr fontId="7" type="noConversion"/>
  <dataValidations count="6">
    <dataValidation type="list" allowBlank="1" showInputMessage="1" showErrorMessage="1" sqref="F21:M21" xr:uid="{83CC1C07-92D7-487C-A463-76E183978E72}">
      <formula1>$N$21:$O$21</formula1>
    </dataValidation>
    <dataValidation type="list" allowBlank="1" showInputMessage="1" showErrorMessage="1" sqref="F6:M6" xr:uid="{41C93803-C634-4D2B-9BA9-8E73764B18E9}">
      <formula1>$N$6:$Q$6</formula1>
    </dataValidation>
    <dataValidation type="list" allowBlank="1" showInputMessage="1" showErrorMessage="1" sqref="F46:I46" xr:uid="{479F53B6-D2D6-4463-B46F-A86255211BE8}">
      <formula1>$N$7:$Q$7</formula1>
    </dataValidation>
    <dataValidation type="list" allowBlank="1" showInputMessage="1" showErrorMessage="1" sqref="F26:I26" xr:uid="{8785C889-21AF-4EE2-8B3F-79F995228AC7}">
      <formula1>$N$5:$O$5</formula1>
    </dataValidation>
    <dataValidation type="list" allowBlank="1" showInputMessage="1" showErrorMessage="1" sqref="F51:F53 G52:I53" xr:uid="{22D4D7CC-AAD9-4587-AEE3-D3794F1E228C}">
      <formula1>$N$8:$O$8</formula1>
    </dataValidation>
    <dataValidation type="list" allowBlank="1" showInputMessage="1" showErrorMessage="1" sqref="F54:I54" xr:uid="{741109B5-9D96-4081-B6E7-AB9525B62AF9}">
      <formula1>$N$54:$O$54</formula1>
    </dataValidation>
  </dataValidations>
  <printOptions horizontalCentered="1"/>
  <pageMargins left="0" right="0" top="1.25" bottom="0.70465686274509798" header="0" footer="0"/>
  <pageSetup paperSize="9" scale="69" fitToWidth="0" orientation="portrait" r:id="rId1"/>
  <headerFooter>
    <oddHeader>&amp;L&amp;G</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CC848-5EA7-40DD-AAEB-548FEDCE1A7C}">
  <dimension ref="A1:T92"/>
  <sheetViews>
    <sheetView tabSelected="1" view="pageLayout" zoomScale="86" zoomScaleNormal="48" zoomScalePageLayoutView="86" workbookViewId="0">
      <selection activeCell="G23" sqref="G23"/>
    </sheetView>
  </sheetViews>
  <sheetFormatPr defaultColWidth="9.33203125" defaultRowHeight="20.149999999999999" customHeight="1"/>
  <cols>
    <col min="1" max="4" width="8.9140625" customWidth="1"/>
    <col min="5" max="9" width="8.9140625" style="1" customWidth="1"/>
    <col min="10" max="10" width="8.75" customWidth="1"/>
    <col min="11" max="19" width="4.4140625" hidden="1" customWidth="1"/>
  </cols>
  <sheetData>
    <row r="1" spans="1:12" s="16" customFormat="1" ht="23.5">
      <c r="A1" s="67" t="str">
        <f>IF(INPUT!F54="ENG", "PREMIUM FINANCING ANALYSIS REPORT","保费融资分析报告")</f>
        <v>保费融资分析报告</v>
      </c>
      <c r="B1" s="94"/>
      <c r="C1" s="94"/>
      <c r="D1" s="94"/>
      <c r="E1" s="94"/>
      <c r="F1" s="94"/>
      <c r="G1" s="94"/>
      <c r="H1" s="94"/>
      <c r="I1" s="94"/>
      <c r="J1" s="94"/>
      <c r="K1" s="15"/>
      <c r="L1" s="15"/>
    </row>
    <row r="2" spans="1:12" s="11" customFormat="1" ht="13">
      <c r="A2" s="95" t="str">
        <f>IF(INPUT!F54="ENG", "FOR YOUR REFERENCE ONLY", "仅供参考")</f>
        <v>仅供参考</v>
      </c>
      <c r="B2" s="95"/>
      <c r="C2" s="95"/>
      <c r="D2" s="95"/>
      <c r="E2" s="95"/>
      <c r="F2" s="95"/>
      <c r="G2" s="95"/>
      <c r="H2" s="95"/>
      <c r="I2" s="95"/>
      <c r="J2" s="95"/>
      <c r="K2" s="37"/>
      <c r="L2" s="37"/>
    </row>
    <row r="3" spans="1:12" s="11" customFormat="1" ht="14">
      <c r="A3" s="11" t="str">
        <f>IF(INPUT!F54="ENG", "Prepared For", "名称")</f>
        <v>名称</v>
      </c>
      <c r="E3" s="99" t="str">
        <f>IF(INPUT!$K$53="Hide", INPUT!$A$2, INPUT!F19)</f>
        <v>********</v>
      </c>
      <c r="F3" s="99"/>
      <c r="G3" s="12"/>
      <c r="H3" s="63" t="str">
        <f>IF(INPUT!F54="ENG", "DATE", "日子")</f>
        <v>日子</v>
      </c>
      <c r="I3" s="96">
        <f ca="1">TODAY()</f>
        <v>44733</v>
      </c>
      <c r="J3" s="96"/>
    </row>
    <row r="4" spans="1:12" s="11" customFormat="1" ht="14">
      <c r="A4" s="11" t="str">
        <f>IF(INPUT!F54="ENG", "AGE", "年龄")</f>
        <v>年龄</v>
      </c>
      <c r="E4" s="99" t="str">
        <f>IF(INPUT!$K$53="Hide", INPUT!$A$2, INPUT!F20)</f>
        <v>********</v>
      </c>
      <c r="F4" s="99"/>
      <c r="G4" s="12"/>
      <c r="H4" s="63"/>
      <c r="I4" s="12"/>
    </row>
    <row r="5" spans="1:12" s="11" customFormat="1" ht="14">
      <c r="A5" s="11" t="str">
        <f>IF(INPUT!F54="ENG", "GENDER", "性别")</f>
        <v>性别</v>
      </c>
      <c r="E5" s="99" t="str">
        <f>IF(INPUT!$K$53="Hide", INPUT!$A$2, INPUT!F21)</f>
        <v>********</v>
      </c>
      <c r="F5" s="99"/>
      <c r="G5" s="12"/>
      <c r="H5" s="63" t="str">
        <f>IF(INPUT!F54="ENG", "Version", "版本号")</f>
        <v>版本号</v>
      </c>
      <c r="I5" s="97" t="s">
        <v>104</v>
      </c>
      <c r="J5" s="97"/>
    </row>
    <row r="6" spans="1:12" s="11" customFormat="1" ht="10" customHeight="1">
      <c r="E6" s="12"/>
      <c r="F6" s="12"/>
      <c r="G6" s="12"/>
      <c r="H6" s="12"/>
      <c r="I6" s="12"/>
    </row>
    <row r="7" spans="1:12" s="11" customFormat="1" ht="13">
      <c r="A7" s="47" t="str">
        <f>IF(INPUT!F54="ENG", "NEW PROPOSED INSURANCE PLAN", "产品资讯")</f>
        <v>产品资讯</v>
      </c>
      <c r="B7" s="47"/>
      <c r="C7" s="47"/>
      <c r="D7" s="47"/>
      <c r="E7" s="48"/>
      <c r="F7" s="48"/>
      <c r="G7" s="48"/>
      <c r="H7" s="48"/>
      <c r="I7" s="48"/>
      <c r="J7" s="49"/>
    </row>
    <row r="8" spans="1:12" s="11" customFormat="1" ht="14">
      <c r="A8" s="11" t="str">
        <f>IF(INPUT!F54="ENG", "Prodect Provider", "产品供应商")</f>
        <v>产品供应商</v>
      </c>
      <c r="E8" s="44"/>
      <c r="F8" s="12"/>
      <c r="G8" s="12"/>
      <c r="I8" s="20" t="str">
        <f>IF(INPUT!$K$52="Hide", INPUT!$A$2, INPUT!F24)</f>
        <v>********</v>
      </c>
    </row>
    <row r="9" spans="1:12" s="11" customFormat="1" ht="14">
      <c r="A9" s="11" t="str">
        <f>IF(INPUT!F54="ENG", "Product Name", "产品名称")</f>
        <v>产品名称</v>
      </c>
      <c r="E9" s="12"/>
      <c r="F9" s="12"/>
      <c r="G9" s="12"/>
      <c r="H9" s="43"/>
      <c r="I9" s="43" t="str">
        <f>IF(INPUT!$K$52="Hide", INPUT!$A$2, INPUT!F25)</f>
        <v>********</v>
      </c>
    </row>
    <row r="10" spans="1:12" s="11" customFormat="1" ht="14">
      <c r="A10" s="11" t="str">
        <f>IF(INPUT!F54="ENG", "Policy Currency", "产品货币")</f>
        <v>产品货币</v>
      </c>
      <c r="E10" s="12"/>
      <c r="F10" s="12"/>
      <c r="G10" s="12"/>
      <c r="H10" s="20"/>
      <c r="I10" s="20" t="str">
        <f>INPUT!F26</f>
        <v>USD</v>
      </c>
    </row>
    <row r="11" spans="1:12" s="11" customFormat="1" ht="14">
      <c r="A11" s="11" t="str">
        <f>IF(INPUT!F54="ENG", "Annual Premium", "年度保费")</f>
        <v>年度保费</v>
      </c>
      <c r="E11" s="12"/>
      <c r="F11" s="12"/>
      <c r="G11" s="12"/>
      <c r="H11" s="98">
        <f>INPUT!F27</f>
        <v>1256971.08</v>
      </c>
      <c r="I11" s="98"/>
    </row>
    <row r="12" spans="1:12" s="11" customFormat="1" ht="14">
      <c r="A12" s="11" t="str">
        <f>IF(INPUT!F54="ENG", "Premium Paying Period (Yr)", "保费支付年期（年）")</f>
        <v>保费支付年期（年）</v>
      </c>
      <c r="E12" s="12"/>
      <c r="F12" s="12"/>
      <c r="G12" s="12"/>
      <c r="H12" s="91">
        <f>INPUT!F28</f>
        <v>1</v>
      </c>
      <c r="I12" s="91"/>
    </row>
    <row r="13" spans="1:12" s="11" customFormat="1" ht="10" customHeight="1">
      <c r="E13" s="12"/>
      <c r="F13" s="12"/>
      <c r="G13" s="12"/>
      <c r="H13" s="20"/>
      <c r="I13" s="20"/>
    </row>
    <row r="14" spans="1:12" s="11" customFormat="1" ht="14">
      <c r="A14" s="11" t="str">
        <f>IF(INPUT!F54="ENG", "Day-1 Surrender Value", "首日退保价值")</f>
        <v>首日退保价值</v>
      </c>
      <c r="E14" s="12"/>
      <c r="F14" s="12"/>
      <c r="G14" s="12"/>
      <c r="H14" s="98">
        <f>INPUT!$F$29</f>
        <v>1100496</v>
      </c>
      <c r="I14" s="98"/>
    </row>
    <row r="15" spans="1:12" s="11" customFormat="1" ht="14">
      <c r="A15" s="11" t="str">
        <f>IF(INPUT!F54="ENG", "Proposed Initial Loan Amount", "建议初始贷款额")</f>
        <v>建议初始贷款额</v>
      </c>
      <c r="E15" s="12"/>
      <c r="F15" s="12"/>
      <c r="G15" s="12"/>
      <c r="H15" s="98">
        <f>H14*INPUT!$F$5</f>
        <v>990446.4</v>
      </c>
      <c r="I15" s="98"/>
    </row>
    <row r="16" spans="1:12" s="11" customFormat="1" ht="14">
      <c r="A16" s="11" t="str">
        <f>IF(INPUT!F54="ENG", "Shortall Premium Amount Required from Client", "客户支付保费金额")</f>
        <v>客户支付保费金额</v>
      </c>
      <c r="E16" s="12"/>
      <c r="F16" s="12"/>
      <c r="G16" s="12"/>
      <c r="H16" s="98">
        <f>H11-H15</f>
        <v>266524.68000000005</v>
      </c>
      <c r="I16" s="98"/>
    </row>
    <row r="17" spans="1:19" s="11" customFormat="1" ht="10" customHeight="1">
      <c r="E17" s="12"/>
      <c r="F17" s="12"/>
      <c r="G17" s="12"/>
      <c r="H17" s="12"/>
      <c r="I17" s="12"/>
    </row>
    <row r="18" spans="1:19" s="11" customFormat="1" ht="13">
      <c r="A18" s="47" t="str">
        <f>IF(INPUT!F54="ENG", "LOAN INTEREST RATES AND FEES", "贷款利息及收费")</f>
        <v>贷款利息及收费</v>
      </c>
      <c r="B18" s="47"/>
      <c r="C18" s="47"/>
      <c r="D18" s="47"/>
      <c r="E18" s="48"/>
      <c r="F18" s="48"/>
      <c r="G18" s="48"/>
      <c r="H18" s="48"/>
      <c r="I18" s="48"/>
      <c r="J18" s="49"/>
    </row>
    <row r="19" spans="1:19" s="11" customFormat="1" ht="14">
      <c r="A19" s="11" t="str">
        <f>IF(INPUT!F54="ENG", "Loan Provider", "贷款供应商")</f>
        <v>贷款供应商</v>
      </c>
      <c r="E19" s="12"/>
      <c r="F19" s="12"/>
      <c r="G19" s="12"/>
      <c r="H19" s="91" t="str">
        <f>IF(INPUT!$K$51="Hide", INPUT!$A$2, INPUT!F4)</f>
        <v>********</v>
      </c>
      <c r="I19" s="91"/>
    </row>
    <row r="20" spans="1:19" s="11" customFormat="1" ht="14">
      <c r="A20" s="38" t="str">
        <f>INPUT!F6</f>
        <v>Assumed 1M HIBOR</v>
      </c>
      <c r="B20" s="38"/>
      <c r="C20" s="38"/>
      <c r="D20" s="38"/>
      <c r="E20" s="12"/>
      <c r="F20" s="12"/>
      <c r="G20" s="12"/>
      <c r="H20" s="90">
        <f>INPUT!F7</f>
        <v>2E-3</v>
      </c>
      <c r="I20" s="90"/>
    </row>
    <row r="21" spans="1:19" s="11" customFormat="1" ht="14">
      <c r="A21" s="11" t="str">
        <f>IF(INPUT!F54="ENG", "Interest Spread", "利率差价")</f>
        <v>利率差价</v>
      </c>
      <c r="E21" s="12"/>
      <c r="F21" s="12"/>
      <c r="G21" s="12"/>
      <c r="H21" s="90">
        <f>INPUT!F8</f>
        <v>1.7999999999999999E-2</v>
      </c>
      <c r="I21" s="90"/>
    </row>
    <row r="22" spans="1:19" s="11" customFormat="1" ht="14">
      <c r="A22" s="11" t="str">
        <f>IF(INPUT!F54="ENG", "Assumed Annual Interest Rate", "预计年利率")</f>
        <v>预计年利率</v>
      </c>
      <c r="E22" s="12"/>
      <c r="F22" s="12"/>
      <c r="G22" s="12"/>
      <c r="H22" s="90">
        <f>H21+H20</f>
        <v>1.9999999999999997E-2</v>
      </c>
      <c r="I22" s="90"/>
    </row>
    <row r="23" spans="1:19" s="11" customFormat="1" ht="14">
      <c r="A23" s="11" t="str">
        <f>IF(INPUT!F54="ENG", "Estimated Annual Interest Cost", "预计年利息成本")</f>
        <v>预计年利息成本</v>
      </c>
      <c r="E23" s="12"/>
      <c r="F23" s="12"/>
      <c r="G23" s="12"/>
      <c r="H23" s="92">
        <f>H22*H15</f>
        <v>19808.927999999996</v>
      </c>
      <c r="I23" s="92"/>
    </row>
    <row r="24" spans="1:19" s="11" customFormat="1" ht="14">
      <c r="A24" s="11" t="str">
        <f>IF(INPUT!F54="ENG", "Cap Rate", "利息上限")</f>
        <v>利息上限</v>
      </c>
      <c r="E24" s="12"/>
      <c r="F24" s="12"/>
      <c r="G24" s="12"/>
      <c r="H24" s="93" t="s">
        <v>65</v>
      </c>
      <c r="I24" s="90"/>
    </row>
    <row r="25" spans="1:19" s="11" customFormat="1" ht="14">
      <c r="A25" s="11" t="str">
        <f>IF(INPUT!F54="ENG", "1st yr Loan Setup Fee %", "首年贷款成立费用")</f>
        <v>首年贷款成立费用</v>
      </c>
      <c r="E25" s="12"/>
      <c r="F25" s="12"/>
      <c r="G25" s="12"/>
      <c r="H25" s="100">
        <f>INPUT!F11</f>
        <v>4.0000000000000001E-3</v>
      </c>
      <c r="I25" s="100"/>
    </row>
    <row r="26" spans="1:19" s="11" customFormat="1" ht="14">
      <c r="A26" s="11" t="str">
        <f>IF(INPUT!F54="ENG", "Loan Setup Fee Collected over # of years", "成立费用收取 # 年")</f>
        <v>成立费用收取 # 年</v>
      </c>
      <c r="E26" s="12"/>
      <c r="F26" s="12"/>
      <c r="G26" s="12"/>
      <c r="H26" s="103">
        <f>INPUT!F10</f>
        <v>5</v>
      </c>
      <c r="I26" s="103"/>
    </row>
    <row r="27" spans="1:19" s="11" customFormat="1" ht="14">
      <c r="A27" s="11" t="str">
        <f>IF(INPUT!F54="ENG", "Total First Year Setup Fee", "总首年成立费金额")</f>
        <v>总首年成立费金额</v>
      </c>
      <c r="E27" s="12"/>
      <c r="F27" s="12"/>
      <c r="G27" s="12"/>
      <c r="H27" s="111">
        <f>H25*H15</f>
        <v>3961.7856000000002</v>
      </c>
      <c r="I27" s="111"/>
    </row>
    <row r="28" spans="1:19" s="11" customFormat="1" ht="14">
      <c r="A28" s="11" t="str">
        <f>IF(INPUT!F54="ENG", "Advance Interest Payment (month)", "预缴利息（月）")</f>
        <v>预缴利息（月）</v>
      </c>
      <c r="E28" s="12"/>
      <c r="F28" s="12"/>
      <c r="G28" s="12"/>
      <c r="H28" s="103">
        <f>INPUT!F16</f>
        <v>3</v>
      </c>
      <c r="I28" s="103"/>
    </row>
    <row r="29" spans="1:19" s="11" customFormat="1" ht="14">
      <c r="A29" s="11" t="str">
        <f>IF(INPUT!F54="ENG", "Total Initial Forward Interest", "总初始预缴利率")</f>
        <v>总初始预缴利率</v>
      </c>
      <c r="E29" s="12"/>
      <c r="F29" s="12"/>
      <c r="G29" s="12"/>
      <c r="H29" s="111">
        <f>(H28/12)*H23</f>
        <v>4952.2319999999991</v>
      </c>
      <c r="I29" s="111"/>
    </row>
    <row r="30" spans="1:19" s="11" customFormat="1" ht="10" customHeight="1">
      <c r="E30" s="12"/>
      <c r="F30" s="12"/>
      <c r="G30" s="12"/>
      <c r="H30" s="12"/>
      <c r="I30" s="12"/>
    </row>
    <row r="31" spans="1:19" s="11" customFormat="1" ht="13">
      <c r="A31" s="47" t="str">
        <f>IF(INPUT!F54="ENG", "LOAN INTEREST RATE SENSITIVITY", "贷款利率敏感度")</f>
        <v>贷款利率敏感度</v>
      </c>
      <c r="B31" s="47"/>
      <c r="C31" s="47"/>
      <c r="D31" s="47"/>
      <c r="E31" s="48"/>
      <c r="F31" s="48"/>
      <c r="G31" s="48"/>
      <c r="H31" s="48"/>
      <c r="I31" s="48"/>
      <c r="J31" s="49"/>
      <c r="K31" s="50"/>
      <c r="L31" s="50"/>
      <c r="M31" s="50"/>
      <c r="N31" s="50"/>
      <c r="O31" s="50"/>
      <c r="P31" s="50"/>
      <c r="Q31" s="50"/>
      <c r="R31" s="50"/>
      <c r="S31" s="50"/>
    </row>
    <row r="32" spans="1:19" s="11" customFormat="1" ht="15" customHeight="1">
      <c r="A32" s="11" t="str">
        <f>IF(INPUT!F54="ENG", "Interest Rate Scenario", "利息情况")</f>
        <v>利息情况</v>
      </c>
      <c r="E32" s="102" t="str">
        <f>IF(INPUT!F54="ENG", "Decrease", "减少")</f>
        <v>减少</v>
      </c>
      <c r="F32" s="102"/>
      <c r="G32" s="102" t="str">
        <f>IF(INPUT!F54="ENG", "Current", "现况")</f>
        <v>现况</v>
      </c>
      <c r="H32" s="102"/>
      <c r="I32" s="102" t="str">
        <f>IF(INPUT!F54="ENG", "Increase", "增加")</f>
        <v>增加</v>
      </c>
      <c r="J32" s="102"/>
    </row>
    <row r="33" spans="1:20" s="11" customFormat="1" ht="14">
      <c r="E33" s="20" t="str">
        <f>G33</f>
        <v>1M HIBOR</v>
      </c>
      <c r="F33" s="22">
        <f>INPUT!F45</f>
        <v>-2E-3</v>
      </c>
      <c r="G33" s="101" t="str">
        <f>INPUT!F46</f>
        <v>1M HIBOR</v>
      </c>
      <c r="H33" s="101"/>
      <c r="I33" s="20" t="str">
        <f>G33</f>
        <v>1M HIBOR</v>
      </c>
      <c r="J33" s="21">
        <f>INPUT!F47</f>
        <v>2E-3</v>
      </c>
    </row>
    <row r="34" spans="1:20" s="11" customFormat="1" ht="14">
      <c r="A34" s="11" t="str">
        <f>IF(INPUT!F54="ENG", "Assumed Interest Rate", "预计利率")</f>
        <v>预计利率</v>
      </c>
      <c r="E34" s="100">
        <f>IF((G34+INPUT!F45)&lt;0,0,(G34+INPUT!F45))</f>
        <v>0</v>
      </c>
      <c r="F34" s="100"/>
      <c r="G34" s="100">
        <f>H20</f>
        <v>2E-3</v>
      </c>
      <c r="H34" s="100"/>
      <c r="I34" s="100">
        <f>G34+INPUT!F47</f>
        <v>4.0000000000000001E-3</v>
      </c>
      <c r="J34" s="100"/>
    </row>
    <row r="35" spans="1:20" s="11" customFormat="1" ht="14">
      <c r="A35" s="11" t="str">
        <f>IF(INPUT!F54="ENG", "Interest Spread", "利率差价")</f>
        <v>利率差价</v>
      </c>
      <c r="E35" s="100">
        <f>$H$21</f>
        <v>1.7999999999999999E-2</v>
      </c>
      <c r="F35" s="100"/>
      <c r="G35" s="100">
        <f>$H$21</f>
        <v>1.7999999999999999E-2</v>
      </c>
      <c r="H35" s="100"/>
      <c r="I35" s="100">
        <f>$H$21</f>
        <v>1.7999999999999999E-2</v>
      </c>
      <c r="J35" s="100"/>
    </row>
    <row r="36" spans="1:20" s="11" customFormat="1" ht="14">
      <c r="A36" s="11" t="str">
        <f>IF(INPUT!F54="ENG", "Assumed Annual Interest Rate", "预计年利率")</f>
        <v>预计年利率</v>
      </c>
      <c r="E36" s="100">
        <f>E35+E34</f>
        <v>1.7999999999999999E-2</v>
      </c>
      <c r="F36" s="100"/>
      <c r="G36" s="100">
        <f>G35+G34</f>
        <v>1.9999999999999997E-2</v>
      </c>
      <c r="H36" s="100"/>
      <c r="I36" s="100">
        <f>I35+I34</f>
        <v>2.1999999999999999E-2</v>
      </c>
      <c r="J36" s="100"/>
    </row>
    <row r="37" spans="1:20" s="11" customFormat="1" ht="10" customHeight="1">
      <c r="E37" s="38"/>
      <c r="F37" s="38"/>
      <c r="G37" s="38"/>
      <c r="H37" s="38"/>
      <c r="I37" s="38"/>
      <c r="J37" s="38"/>
    </row>
    <row r="38" spans="1:20" s="11" customFormat="1" ht="14">
      <c r="A38" s="11" t="str">
        <f>IF(INPUT!F54="ENG", "Estimated Annual Interest Cost", "预计年利息成本")</f>
        <v>预计年利息成本</v>
      </c>
      <c r="E38" s="108">
        <f>E36*$H$15</f>
        <v>17828.035199999998</v>
      </c>
      <c r="F38" s="108"/>
      <c r="G38" s="108">
        <f>G36*$H$15</f>
        <v>19808.927999999996</v>
      </c>
      <c r="H38" s="108"/>
      <c r="I38" s="108">
        <f>I36*$H$15</f>
        <v>21789.820799999998</v>
      </c>
      <c r="J38" s="108"/>
    </row>
    <row r="39" spans="1:20" s="11" customFormat="1" ht="10" customHeight="1">
      <c r="E39" s="12"/>
      <c r="F39" s="12"/>
      <c r="G39" s="12"/>
      <c r="H39" s="12"/>
      <c r="I39" s="12"/>
    </row>
    <row r="40" spans="1:20" s="11" customFormat="1" ht="13">
      <c r="A40" s="51" t="str">
        <f>IF(INPUT!F54="ENG", "Total Estimated Initial Cash Required from Customer", "预算初始现金流总额")</f>
        <v>预算初始现金流总额</v>
      </c>
      <c r="B40" s="51"/>
      <c r="C40" s="51"/>
      <c r="D40" s="51"/>
      <c r="E40" s="52"/>
      <c r="F40" s="52"/>
      <c r="G40" s="52"/>
      <c r="H40" s="52"/>
      <c r="I40" s="109">
        <f>SUM(H41:I43)</f>
        <v>275438.69760000007</v>
      </c>
      <c r="J40" s="110"/>
      <c r="L40" s="39"/>
    </row>
    <row r="41" spans="1:20" s="11" customFormat="1" ht="14">
      <c r="A41" s="11" t="str">
        <f>IF(INPUT!F54="ENG", "Shortall Premium Amount Required from Client", "客户支付保费金额")</f>
        <v>客户支付保费金额</v>
      </c>
      <c r="B41" s="40"/>
      <c r="C41" s="40"/>
      <c r="D41" s="40"/>
      <c r="E41" s="12"/>
      <c r="F41" s="12"/>
      <c r="G41" s="12"/>
      <c r="H41" s="108">
        <f>$H$16</f>
        <v>266524.68000000005</v>
      </c>
      <c r="I41" s="108"/>
      <c r="J41" s="39"/>
    </row>
    <row r="42" spans="1:20" s="11" customFormat="1" ht="14">
      <c r="A42" s="11" t="str">
        <f>IF(INPUT!F54="ENG", "Total First Year Setup Fee", "总首年成立费金额")</f>
        <v>总首年成立费金额</v>
      </c>
      <c r="E42" s="12"/>
      <c r="F42" s="12"/>
      <c r="G42" s="12"/>
      <c r="H42" s="108">
        <f>$H$27</f>
        <v>3961.7856000000002</v>
      </c>
      <c r="I42" s="108"/>
      <c r="J42" s="41"/>
    </row>
    <row r="43" spans="1:20" s="11" customFormat="1" ht="14">
      <c r="A43" s="11" t="str">
        <f>IF(INPUT!F54="ENG", "Total Initial Forward Interest", "总初始预缴利率")</f>
        <v>总初始预缴利率</v>
      </c>
      <c r="E43" s="12"/>
      <c r="F43" s="12"/>
      <c r="G43" s="12"/>
      <c r="H43" s="108">
        <f>$H$29</f>
        <v>4952.2319999999991</v>
      </c>
      <c r="I43" s="108"/>
      <c r="J43" s="41"/>
    </row>
    <row r="44" spans="1:20" s="11" customFormat="1" ht="14">
      <c r="E44" s="12"/>
      <c r="F44" s="12"/>
      <c r="G44" s="12"/>
      <c r="H44" s="42"/>
      <c r="I44" s="42"/>
      <c r="J44" s="41"/>
    </row>
    <row r="45" spans="1:20" s="11" customFormat="1" ht="14">
      <c r="E45" s="12"/>
      <c r="F45" s="12"/>
      <c r="G45" s="12"/>
      <c r="H45" s="42"/>
      <c r="I45" s="42"/>
      <c r="J45" s="41"/>
    </row>
    <row r="46" spans="1:20" s="9" customFormat="1" ht="15" customHeight="1">
      <c r="A46" s="106" t="s">
        <v>87</v>
      </c>
      <c r="B46" s="106"/>
      <c r="C46" s="106"/>
      <c r="D46" s="106"/>
      <c r="E46" s="106"/>
      <c r="F46" s="106"/>
      <c r="G46" s="106"/>
      <c r="H46" s="106"/>
      <c r="I46" s="106"/>
      <c r="J46" s="106"/>
    </row>
    <row r="47" spans="1:20" s="9" customFormat="1" ht="20.149999999999999" customHeight="1">
      <c r="A47" s="106"/>
      <c r="B47" s="106"/>
      <c r="C47" s="106"/>
      <c r="D47" s="106"/>
      <c r="E47" s="106"/>
      <c r="F47" s="106"/>
      <c r="G47" s="106"/>
      <c r="H47" s="106"/>
      <c r="I47" s="106"/>
      <c r="J47" s="106"/>
      <c r="T47" s="113"/>
    </row>
    <row r="48" spans="1:20" s="9" customFormat="1" ht="15" customHeight="1">
      <c r="A48" s="106"/>
      <c r="B48" s="106"/>
      <c r="C48" s="106"/>
      <c r="D48" s="106"/>
      <c r="E48" s="106"/>
      <c r="F48" s="106"/>
      <c r="G48" s="106"/>
      <c r="H48" s="106"/>
      <c r="I48" s="106"/>
      <c r="J48" s="106"/>
    </row>
    <row r="49" spans="1:10" s="4" customFormat="1" ht="20.149999999999999" customHeight="1">
      <c r="A49" s="67" t="str">
        <f>A1</f>
        <v>保费融资分析报告</v>
      </c>
      <c r="B49" s="94"/>
      <c r="C49" s="94"/>
      <c r="D49" s="94"/>
      <c r="E49" s="94"/>
      <c r="F49" s="94"/>
      <c r="G49" s="94"/>
      <c r="H49" s="94"/>
      <c r="I49" s="94"/>
      <c r="J49" s="94"/>
    </row>
    <row r="50" spans="1:10" s="4" customFormat="1" ht="20.149999999999999" customHeight="1">
      <c r="A50" s="107" t="str">
        <f>A2</f>
        <v>仅供参考</v>
      </c>
      <c r="B50" s="107"/>
      <c r="C50" s="107"/>
      <c r="D50" s="107"/>
      <c r="E50" s="107"/>
      <c r="F50" s="107"/>
      <c r="G50" s="107"/>
      <c r="H50" s="107"/>
      <c r="I50" s="107"/>
      <c r="J50" s="107"/>
    </row>
    <row r="51" spans="1:10" s="7" customFormat="1" ht="20.149999999999999" customHeight="1">
      <c r="A51" s="7" t="str">
        <f>A3</f>
        <v>名称</v>
      </c>
      <c r="C51" s="10" t="str">
        <f>E3</f>
        <v>********</v>
      </c>
      <c r="E51" s="10"/>
      <c r="F51" s="6"/>
      <c r="G51" s="10" t="str">
        <f>A8</f>
        <v>产品供应商</v>
      </c>
      <c r="H51" s="6"/>
      <c r="I51" s="10" t="str">
        <f>I8</f>
        <v>********</v>
      </c>
      <c r="J51" s="32"/>
    </row>
    <row r="52" spans="1:10" s="7" customFormat="1" ht="20.149999999999999" customHeight="1">
      <c r="A52" s="7" t="str">
        <f>A4</f>
        <v>年龄</v>
      </c>
      <c r="C52" s="10" t="str">
        <f>E4</f>
        <v>********</v>
      </c>
      <c r="E52" s="10"/>
      <c r="F52" s="6"/>
      <c r="G52" s="10" t="str">
        <f>A9</f>
        <v>产品名称</v>
      </c>
      <c r="H52" s="6"/>
      <c r="I52" s="10" t="str">
        <f>I9</f>
        <v>********</v>
      </c>
    </row>
    <row r="53" spans="1:10" s="7" customFormat="1" ht="20.149999999999999" customHeight="1">
      <c r="A53" s="7" t="str">
        <f>A5</f>
        <v>性别</v>
      </c>
      <c r="C53" s="10" t="str">
        <f>E5</f>
        <v>********</v>
      </c>
      <c r="E53" s="10"/>
      <c r="F53" s="6"/>
      <c r="G53" s="10" t="str">
        <f>H3</f>
        <v>日子</v>
      </c>
      <c r="H53" s="6"/>
      <c r="I53" s="31">
        <f ca="1">I3</f>
        <v>44733</v>
      </c>
    </row>
    <row r="54" spans="1:10" s="4" customFormat="1" ht="20.149999999999999" customHeight="1">
      <c r="E54" s="5"/>
      <c r="F54" s="5"/>
      <c r="G54" s="5"/>
      <c r="H54" s="5"/>
      <c r="I54" s="5"/>
    </row>
    <row r="55" spans="1:10" s="4" customFormat="1" ht="20.149999999999999" customHeight="1">
      <c r="E55" s="5"/>
      <c r="F55" s="5"/>
      <c r="G55" s="5"/>
      <c r="H55" s="5"/>
      <c r="I55" s="5"/>
    </row>
    <row r="56" spans="1:10" s="4" customFormat="1" ht="20.149999999999999" customHeight="1">
      <c r="A56" s="104" t="str">
        <f>IF(INPUT!F54="ENG", "Illustration of Premium Financing", "保费融资说明表")</f>
        <v>保费融资说明表</v>
      </c>
      <c r="B56" s="105"/>
      <c r="C56" s="105"/>
      <c r="D56" s="105"/>
      <c r="E56" s="105"/>
      <c r="F56" s="105"/>
      <c r="G56" s="105"/>
      <c r="H56" s="105"/>
      <c r="I56" s="105"/>
      <c r="J56" s="105"/>
    </row>
    <row r="57" spans="1:10" s="25" customFormat="1" ht="33" customHeight="1">
      <c r="A57" s="28" t="str">
        <f>IF(INPUT!F54="ENG", "Year", "年")</f>
        <v>年</v>
      </c>
      <c r="B57" s="29" t="str">
        <f>IF(INPUT!F54="ENG", "Premium", "保费支付")</f>
        <v>保费支付</v>
      </c>
      <c r="C57" s="30" t="str">
        <f>IF(INPUT!F54="ENG", "Loan Amount", "贷款金额")</f>
        <v>贷款金额</v>
      </c>
      <c r="D57" s="29" t="str">
        <f>IF(INPUT!F54="ENG", "Handling Fee", "手续费")</f>
        <v>手续费</v>
      </c>
      <c r="E57" s="30" t="str">
        <f>IF(INPUT!F54="ENG", "Interest Payment", "利息支付")</f>
        <v>利息支付</v>
      </c>
      <c r="F57" s="30" t="str">
        <f>IF(INPUT!F54="ENG", "Accumenlate Cash Flow", "累积现金流")</f>
        <v>累积现金流</v>
      </c>
      <c r="G57" s="30" t="str">
        <f>IF(INPUT!F54="ENG", "Net Surrender Value", "退保净值")</f>
        <v>退保净值</v>
      </c>
      <c r="H57" s="29" t="str">
        <f>IF(INPUT!F54="ENG", "Balance", "余额")</f>
        <v>余额</v>
      </c>
      <c r="I57" s="29" t="str">
        <f>IF(INPUT!F54="ENG", "HPR", "持有期回报")</f>
        <v>持有期回报</v>
      </c>
      <c r="J57" s="29" t="str">
        <f>IF(INPUT!F54="ENG", "IRR", "内部回报率")</f>
        <v>内部回报率</v>
      </c>
    </row>
    <row r="58" spans="1:10" s="25" customFormat="1" ht="16.5" customHeight="1">
      <c r="A58" s="25">
        <v>0</v>
      </c>
      <c r="B58" s="45">
        <f>-H11</f>
        <v>-1256971.08</v>
      </c>
      <c r="C58" s="45">
        <f>H15</f>
        <v>990446.4</v>
      </c>
      <c r="D58" s="45">
        <f>-H27</f>
        <v>-3961.7856000000002</v>
      </c>
      <c r="E58" s="45">
        <f>-H29</f>
        <v>-4952.2319999999991</v>
      </c>
      <c r="F58" s="45">
        <f>SUM(B58:E58)</f>
        <v>-275438.69760000007</v>
      </c>
      <c r="G58" s="45">
        <f>$H$14-$C$58</f>
        <v>110049.59999999998</v>
      </c>
      <c r="H58" s="45">
        <f>SUM(F58:G58)</f>
        <v>-165389.0976000001</v>
      </c>
      <c r="I58" s="45" t="s">
        <v>65</v>
      </c>
      <c r="J58" s="45" t="s">
        <v>65</v>
      </c>
    </row>
    <row r="59" spans="1:10" s="25" customFormat="1" ht="16.5" customHeight="1">
      <c r="A59" s="25">
        <v>1</v>
      </c>
      <c r="B59" s="45">
        <v>0</v>
      </c>
      <c r="C59" s="45">
        <v>0</v>
      </c>
      <c r="D59" s="45">
        <v>0</v>
      </c>
      <c r="E59" s="45">
        <f>-H23+H29</f>
        <v>-14856.695999999996</v>
      </c>
      <c r="F59" s="45">
        <f>F58+SUM(B59:E59)</f>
        <v>-290295.39360000007</v>
      </c>
      <c r="G59" s="45">
        <f>INPUT!B32-$C$58</f>
        <v>128720.59999999998</v>
      </c>
      <c r="H59" s="45">
        <f>SUM(F59:G59)</f>
        <v>-161574.79360000009</v>
      </c>
      <c r="I59" s="46">
        <f>IFERROR(INPUT!U25,"-")</f>
        <v>-0.59734890336043533</v>
      </c>
      <c r="J59" s="46">
        <f>IFERROR(INPUT!U24,"-")</f>
        <v>-0.59734890336043533</v>
      </c>
    </row>
    <row r="60" spans="1:10" s="25" customFormat="1" ht="16.5" customHeight="1">
      <c r="A60" s="25">
        <v>2</v>
      </c>
      <c r="B60" s="45">
        <v>0</v>
      </c>
      <c r="C60" s="45">
        <v>0</v>
      </c>
      <c r="D60" s="45">
        <v>0</v>
      </c>
      <c r="E60" s="45">
        <f>-H23</f>
        <v>-19808.927999999996</v>
      </c>
      <c r="F60" s="45">
        <f t="shared" ref="F60:F78" si="0">F59+SUM(B60:E60)</f>
        <v>-310104.32160000008</v>
      </c>
      <c r="G60" s="45">
        <f>INPUT!B33-$C$58</f>
        <v>128720.59999999998</v>
      </c>
      <c r="H60" s="45">
        <f t="shared" ref="H60:H78" si="1">SUM(F60:G60)</f>
        <v>-181383.72160000011</v>
      </c>
      <c r="I60" s="46">
        <f>INPUT!$V$25</f>
        <v>-0.62482466342517995</v>
      </c>
      <c r="J60" s="46">
        <f>IFERROR(INPUT!$V$24,"-")</f>
        <v>-0.40101364037427845</v>
      </c>
    </row>
    <row r="61" spans="1:10" s="25" customFormat="1" ht="16.5" customHeight="1">
      <c r="A61" s="25">
        <v>3</v>
      </c>
      <c r="B61" s="45">
        <v>0</v>
      </c>
      <c r="C61" s="45">
        <v>0</v>
      </c>
      <c r="D61" s="45">
        <v>0</v>
      </c>
      <c r="E61" s="45">
        <f t="shared" ref="E61:E78" si="2">E60</f>
        <v>-19808.927999999996</v>
      </c>
      <c r="F61" s="45">
        <f t="shared" si="0"/>
        <v>-329913.2496000001</v>
      </c>
      <c r="G61" s="45">
        <f>INPUT!B34-$C$58</f>
        <v>128848.59999999998</v>
      </c>
      <c r="H61" s="45">
        <f t="shared" si="1"/>
        <v>-201064.64960000012</v>
      </c>
      <c r="I61" s="46">
        <f>INPUT!$W$25</f>
        <v>-0.64837745105452327</v>
      </c>
      <c r="J61" s="46">
        <f>IFERROR(INPUT!$W$24,"-")</f>
        <v>-0.3167901490111934</v>
      </c>
    </row>
    <row r="62" spans="1:10" s="25" customFormat="1" ht="16.5" customHeight="1">
      <c r="A62" s="25">
        <v>4</v>
      </c>
      <c r="B62" s="45">
        <v>0</v>
      </c>
      <c r="C62" s="45">
        <v>0</v>
      </c>
      <c r="D62" s="45">
        <v>0</v>
      </c>
      <c r="E62" s="45">
        <f t="shared" si="2"/>
        <v>-19808.927999999996</v>
      </c>
      <c r="F62" s="45">
        <f t="shared" si="0"/>
        <v>-349722.17760000011</v>
      </c>
      <c r="G62" s="45">
        <f>INPUT!B35-$C$58</f>
        <v>128982.59999999998</v>
      </c>
      <c r="H62" s="45">
        <f t="shared" si="1"/>
        <v>-220739.57760000014</v>
      </c>
      <c r="I62" s="46">
        <f>INPUT!$X$25</f>
        <v>-0.66908369963205061</v>
      </c>
      <c r="J62" s="46">
        <f>IFERROR(INPUT!$X$24,"-")</f>
        <v>-0.27072396141015509</v>
      </c>
    </row>
    <row r="63" spans="1:10" s="25" customFormat="1" ht="16.5" customHeight="1">
      <c r="A63" s="25">
        <v>5</v>
      </c>
      <c r="B63" s="45">
        <v>0</v>
      </c>
      <c r="C63" s="45">
        <v>0</v>
      </c>
      <c r="D63" s="45">
        <v>0</v>
      </c>
      <c r="E63" s="45">
        <f t="shared" si="2"/>
        <v>-19808.927999999996</v>
      </c>
      <c r="F63" s="45">
        <f t="shared" si="0"/>
        <v>-369531.10560000013</v>
      </c>
      <c r="G63" s="45">
        <f>INPUT!B36-$C$58</f>
        <v>262147.59999999998</v>
      </c>
      <c r="H63" s="45">
        <f t="shared" si="1"/>
        <v>-107383.50560000015</v>
      </c>
      <c r="I63" s="46">
        <f>INPUT!$Y$25</f>
        <v>-0.30705374859818491</v>
      </c>
      <c r="J63" s="46">
        <f>INPUT!$Y$24</f>
        <v>-8.0475686734317375E-2</v>
      </c>
    </row>
    <row r="64" spans="1:10" s="25" customFormat="1" ht="16.5" customHeight="1">
      <c r="A64" s="25">
        <v>6</v>
      </c>
      <c r="B64" s="45">
        <v>0</v>
      </c>
      <c r="C64" s="45">
        <v>0</v>
      </c>
      <c r="D64" s="45">
        <v>0</v>
      </c>
      <c r="E64" s="45">
        <f t="shared" si="2"/>
        <v>-19808.927999999996</v>
      </c>
      <c r="F64" s="45">
        <f t="shared" si="0"/>
        <v>-389340.03360000014</v>
      </c>
      <c r="G64" s="45">
        <f>INPUT!B37-$C$58</f>
        <v>330766.59999999998</v>
      </c>
      <c r="H64" s="45">
        <f t="shared" si="1"/>
        <v>-58573.433600000164</v>
      </c>
      <c r="I64" s="46">
        <f>INPUT!$Z$25</f>
        <v>-0.15850745096247243</v>
      </c>
      <c r="J64" s="46">
        <f>INPUT!$Z$24</f>
        <v>-3.2915676878256916E-2</v>
      </c>
    </row>
    <row r="65" spans="1:10" s="25" customFormat="1" ht="16.5" customHeight="1">
      <c r="A65" s="25">
        <v>7</v>
      </c>
      <c r="B65" s="45">
        <v>0</v>
      </c>
      <c r="C65" s="45">
        <v>0</v>
      </c>
      <c r="D65" s="45">
        <v>0</v>
      </c>
      <c r="E65" s="45">
        <f t="shared" si="2"/>
        <v>-19808.927999999996</v>
      </c>
      <c r="F65" s="45">
        <f t="shared" si="0"/>
        <v>-409148.96160000016</v>
      </c>
      <c r="G65" s="45">
        <f>INPUT!B38-$C$58</f>
        <v>488098.6</v>
      </c>
      <c r="H65" s="45">
        <f t="shared" si="1"/>
        <v>78949.638399999822</v>
      </c>
      <c r="I65" s="46">
        <f>INPUT!$AA$25</f>
        <v>0.2027781157514128</v>
      </c>
      <c r="J65" s="46">
        <f>INPUT!$AA$24</f>
        <v>3.1336624385745138E-2</v>
      </c>
    </row>
    <row r="66" spans="1:10" s="25" customFormat="1" ht="16.5" customHeight="1">
      <c r="A66" s="25">
        <v>8</v>
      </c>
      <c r="B66" s="45">
        <v>0</v>
      </c>
      <c r="C66" s="45">
        <v>0</v>
      </c>
      <c r="D66" s="45">
        <v>0</v>
      </c>
      <c r="E66" s="45">
        <f t="shared" si="2"/>
        <v>-19808.927999999996</v>
      </c>
      <c r="F66" s="45">
        <f t="shared" si="0"/>
        <v>-428957.88960000017</v>
      </c>
      <c r="G66" s="45">
        <f>INPUT!B39-$C$58</f>
        <v>631474.6</v>
      </c>
      <c r="H66" s="45">
        <f t="shared" si="1"/>
        <v>202516.71039999981</v>
      </c>
      <c r="I66" s="46">
        <f>INPUT!$AB$25</f>
        <v>0.49497060827930905</v>
      </c>
      <c r="J66" s="56">
        <f>INPUT!$AB$24</f>
        <v>6.1083474429004303E-2</v>
      </c>
    </row>
    <row r="67" spans="1:10" s="25" customFormat="1" ht="16.5" customHeight="1">
      <c r="A67" s="25">
        <v>9</v>
      </c>
      <c r="B67" s="45">
        <v>0</v>
      </c>
      <c r="C67" s="45">
        <v>0</v>
      </c>
      <c r="D67" s="45">
        <v>0</v>
      </c>
      <c r="E67" s="45">
        <f t="shared" si="2"/>
        <v>-19808.927999999996</v>
      </c>
      <c r="F67" s="45">
        <f t="shared" si="0"/>
        <v>-448766.81760000018</v>
      </c>
      <c r="G67" s="45">
        <f>INPUT!B40-$C$58</f>
        <v>750343.6</v>
      </c>
      <c r="H67" s="45">
        <f t="shared" si="1"/>
        <v>301576.78239999979</v>
      </c>
      <c r="I67" s="46">
        <f>INPUT!$AC$25</f>
        <v>0.70304519327344162</v>
      </c>
      <c r="J67" s="46">
        <f>INPUT!$AC$24</f>
        <v>7.3023620523530175E-2</v>
      </c>
    </row>
    <row r="68" spans="1:10" s="25" customFormat="1" ht="16.5" customHeight="1">
      <c r="A68" s="25">
        <v>10</v>
      </c>
      <c r="B68" s="45">
        <v>0</v>
      </c>
      <c r="C68" s="45">
        <v>0</v>
      </c>
      <c r="D68" s="45">
        <v>0</v>
      </c>
      <c r="E68" s="45">
        <f t="shared" si="2"/>
        <v>-19808.927999999996</v>
      </c>
      <c r="F68" s="45">
        <f t="shared" si="0"/>
        <v>-468575.7456000002</v>
      </c>
      <c r="G68" s="45">
        <f>INPUT!B41-$C$58</f>
        <v>879002.6</v>
      </c>
      <c r="H68" s="45">
        <f t="shared" si="1"/>
        <v>410426.85439999978</v>
      </c>
      <c r="I68" s="46">
        <f>INPUT!$AD$25</f>
        <v>0.91456595787308403</v>
      </c>
      <c r="J68" s="56">
        <f>INPUT!$AD$24</f>
        <v>8.1187983803414854E-2</v>
      </c>
    </row>
    <row r="69" spans="1:10" s="25" customFormat="1" ht="16.5" customHeight="1">
      <c r="A69" s="25">
        <v>11</v>
      </c>
      <c r="B69" s="45">
        <v>0</v>
      </c>
      <c r="C69" s="45">
        <v>0</v>
      </c>
      <c r="D69" s="45">
        <v>0</v>
      </c>
      <c r="E69" s="45">
        <f t="shared" si="2"/>
        <v>-19808.927999999996</v>
      </c>
      <c r="F69" s="45">
        <f t="shared" si="0"/>
        <v>-488384.67360000021</v>
      </c>
      <c r="G69" s="45">
        <f>INPUT!F32-$C$58</f>
        <v>987938.6</v>
      </c>
      <c r="H69" s="45">
        <f t="shared" si="1"/>
        <v>499553.92639999976</v>
      </c>
      <c r="I69" s="46">
        <f>INPUT!$AE$25</f>
        <v>1.0661113621242446</v>
      </c>
      <c r="J69" s="46">
        <f>INPUT!$AE$24</f>
        <v>8.3317440518537733E-2</v>
      </c>
    </row>
    <row r="70" spans="1:10" s="25" customFormat="1" ht="16.5" customHeight="1">
      <c r="A70" s="25">
        <v>12</v>
      </c>
      <c r="B70" s="45">
        <v>0</v>
      </c>
      <c r="C70" s="45">
        <v>0</v>
      </c>
      <c r="D70" s="45">
        <v>0</v>
      </c>
      <c r="E70" s="45">
        <f t="shared" si="2"/>
        <v>-19808.927999999996</v>
      </c>
      <c r="F70" s="45">
        <f t="shared" si="0"/>
        <v>-508193.60160000023</v>
      </c>
      <c r="G70" s="45">
        <f>INPUT!F33-$C$58</f>
        <v>1103165.6000000001</v>
      </c>
      <c r="H70" s="45">
        <f t="shared" si="1"/>
        <v>594971.99839999992</v>
      </c>
      <c r="I70" s="46">
        <f>INPUT!$AF$25</f>
        <v>1.2182446144640835</v>
      </c>
      <c r="J70" s="46">
        <f>INPUT!$AF$24</f>
        <v>8.4606353354052199E-2</v>
      </c>
    </row>
    <row r="71" spans="1:10" s="25" customFormat="1" ht="16.5" customHeight="1">
      <c r="A71" s="25">
        <v>13</v>
      </c>
      <c r="B71" s="45">
        <v>0</v>
      </c>
      <c r="C71" s="45">
        <v>0</v>
      </c>
      <c r="D71" s="45">
        <v>0</v>
      </c>
      <c r="E71" s="45">
        <f t="shared" si="2"/>
        <v>-19808.927999999996</v>
      </c>
      <c r="F71" s="45">
        <f t="shared" si="0"/>
        <v>-528002.52960000024</v>
      </c>
      <c r="G71" s="45">
        <f>INPUT!F34-$C$58</f>
        <v>1225083.6000000001</v>
      </c>
      <c r="H71" s="45">
        <f t="shared" si="1"/>
        <v>697081.07039999985</v>
      </c>
      <c r="I71" s="46">
        <f>INPUT!$AG$25</f>
        <v>1.3716840751345654</v>
      </c>
      <c r="J71" s="46">
        <f>INPUT!$AG$24</f>
        <v>8.5323049175184185E-2</v>
      </c>
    </row>
    <row r="72" spans="1:10" s="25" customFormat="1" ht="16.5" customHeight="1">
      <c r="A72" s="25">
        <v>14</v>
      </c>
      <c r="B72" s="45">
        <v>0</v>
      </c>
      <c r="C72" s="45">
        <v>0</v>
      </c>
      <c r="D72" s="45">
        <v>0</v>
      </c>
      <c r="E72" s="45">
        <f t="shared" si="2"/>
        <v>-19808.927999999996</v>
      </c>
      <c r="F72" s="45">
        <f t="shared" si="0"/>
        <v>-547811.4576000002</v>
      </c>
      <c r="G72" s="45">
        <f>INPUT!F35-$C$58</f>
        <v>1354089.6</v>
      </c>
      <c r="H72" s="45">
        <f t="shared" si="1"/>
        <v>806278.1423999999</v>
      </c>
      <c r="I72" s="46">
        <f>INPUT!$AH$25</f>
        <v>1.5270346204795904</v>
      </c>
      <c r="J72" s="46">
        <f>INPUT!$AH$24</f>
        <v>8.5643152118075827E-2</v>
      </c>
    </row>
    <row r="73" spans="1:10" s="25" customFormat="1" ht="16.5" customHeight="1">
      <c r="A73" s="25">
        <v>15</v>
      </c>
      <c r="B73" s="45">
        <v>0</v>
      </c>
      <c r="C73" s="45">
        <v>0</v>
      </c>
      <c r="D73" s="45">
        <v>0</v>
      </c>
      <c r="E73" s="45">
        <f t="shared" si="2"/>
        <v>-19808.927999999996</v>
      </c>
      <c r="F73" s="45">
        <f t="shared" si="0"/>
        <v>-567620.38560000015</v>
      </c>
      <c r="G73" s="45">
        <f>INPUT!F36-$C$58</f>
        <v>1490620.6</v>
      </c>
      <c r="H73" s="45">
        <f t="shared" si="1"/>
        <v>923000.21439999994</v>
      </c>
      <c r="I73" s="46">
        <f>INPUT!$AI$25</f>
        <v>1.684886655061447</v>
      </c>
      <c r="J73" s="46">
        <f>INPUT!$AI$24</f>
        <v>8.5686907636771892E-2</v>
      </c>
    </row>
    <row r="74" spans="1:10" s="25" customFormat="1" ht="16.5" customHeight="1">
      <c r="A74" s="25">
        <v>16</v>
      </c>
      <c r="B74" s="45">
        <v>0</v>
      </c>
      <c r="C74" s="45">
        <v>0</v>
      </c>
      <c r="D74" s="45">
        <v>0</v>
      </c>
      <c r="E74" s="45">
        <f t="shared" si="2"/>
        <v>-19808.927999999996</v>
      </c>
      <c r="F74" s="45">
        <f t="shared" si="0"/>
        <v>-587429.31360000011</v>
      </c>
      <c r="G74" s="45">
        <f>INPUT!F37-$C$58</f>
        <v>1632509.6</v>
      </c>
      <c r="H74" s="45">
        <f t="shared" si="1"/>
        <v>1045080.2864</v>
      </c>
      <c r="I74" s="46">
        <f>INPUT!$AJ$25</f>
        <v>1.8411605941448057</v>
      </c>
      <c r="J74" s="46">
        <f>INPUT!$AJ$24</f>
        <v>8.5406786135793222E-2</v>
      </c>
    </row>
    <row r="75" spans="1:10" s="25" customFormat="1" ht="16.5" customHeight="1">
      <c r="A75" s="25">
        <v>17</v>
      </c>
      <c r="B75" s="45">
        <v>0</v>
      </c>
      <c r="C75" s="45">
        <v>0</v>
      </c>
      <c r="D75" s="45">
        <v>0</v>
      </c>
      <c r="E75" s="45">
        <f t="shared" si="2"/>
        <v>-19808.927999999996</v>
      </c>
      <c r="F75" s="45">
        <f t="shared" si="0"/>
        <v>-607238.24160000007</v>
      </c>
      <c r="G75" s="45">
        <f>INPUT!F38-$C$58</f>
        <v>1782232.6</v>
      </c>
      <c r="H75" s="45">
        <f t="shared" si="1"/>
        <v>1174994.3584</v>
      </c>
      <c r="I75" s="46">
        <f>INPUT!$AK$25</f>
        <v>2.000231059630253</v>
      </c>
      <c r="J75" s="46">
        <f>INPUT!$AK$24</f>
        <v>8.5000383605926544E-2</v>
      </c>
    </row>
    <row r="76" spans="1:10" s="25" customFormat="1" ht="16.5" customHeight="1">
      <c r="A76" s="25">
        <v>18</v>
      </c>
      <c r="B76" s="45">
        <v>0</v>
      </c>
      <c r="C76" s="45">
        <v>0</v>
      </c>
      <c r="D76" s="45">
        <v>0</v>
      </c>
      <c r="E76" s="45">
        <f t="shared" si="2"/>
        <v>-19808.927999999996</v>
      </c>
      <c r="F76" s="45">
        <f t="shared" si="0"/>
        <v>-627047.16960000002</v>
      </c>
      <c r="G76" s="45">
        <f>INPUT!F39-$C$58</f>
        <v>1940211.6</v>
      </c>
      <c r="H76" s="45">
        <f t="shared" si="1"/>
        <v>1313164.4304</v>
      </c>
      <c r="I76" s="46">
        <f>INPUT!$AL$25</f>
        <v>2.1625193218068235</v>
      </c>
      <c r="J76" s="46">
        <f>INPUT!$AL$24</f>
        <v>8.4507314766674391E-2</v>
      </c>
    </row>
    <row r="77" spans="1:10" s="25" customFormat="1" ht="16.5" customHeight="1">
      <c r="A77" s="25">
        <v>19</v>
      </c>
      <c r="B77" s="45">
        <v>0</v>
      </c>
      <c r="C77" s="45">
        <v>0</v>
      </c>
      <c r="D77" s="45">
        <v>0</v>
      </c>
      <c r="E77" s="45">
        <f t="shared" si="2"/>
        <v>-19808.927999999996</v>
      </c>
      <c r="F77" s="45">
        <f t="shared" si="0"/>
        <v>-646856.09759999998</v>
      </c>
      <c r="G77" s="45">
        <f>INPUT!F40-$C$58</f>
        <v>2106909.6</v>
      </c>
      <c r="H77" s="45">
        <f t="shared" si="1"/>
        <v>1460053.5024000001</v>
      </c>
      <c r="I77" s="46">
        <f>INPUT!$AM$25</f>
        <v>2.3284588037154896</v>
      </c>
      <c r="J77" s="46">
        <f>INPUT!$AM$24</f>
        <v>8.395666386873879E-2</v>
      </c>
    </row>
    <row r="78" spans="1:10" s="25" customFormat="1" ht="16.5" customHeight="1">
      <c r="A78" s="25">
        <v>20</v>
      </c>
      <c r="B78" s="45">
        <v>0</v>
      </c>
      <c r="C78" s="45">
        <v>0</v>
      </c>
      <c r="D78" s="45">
        <v>0</v>
      </c>
      <c r="E78" s="45">
        <f t="shared" si="2"/>
        <v>-19808.927999999996</v>
      </c>
      <c r="F78" s="45">
        <f t="shared" si="0"/>
        <v>-666665.02559999994</v>
      </c>
      <c r="G78" s="45">
        <f>INPUT!F41-$C$58</f>
        <v>2282839.6</v>
      </c>
      <c r="H78" s="45">
        <f t="shared" si="1"/>
        <v>1616174.5744000003</v>
      </c>
      <c r="I78" s="46">
        <f>INPUT!$AN$25</f>
        <v>2.4985071338067577</v>
      </c>
      <c r="J78" s="46">
        <f>INPUT!$AN$24</f>
        <v>8.3370131048318585E-2</v>
      </c>
    </row>
    <row r="79" spans="1:10" s="25" customFormat="1" ht="16.5" customHeight="1">
      <c r="B79" s="45"/>
      <c r="C79" s="45"/>
      <c r="D79" s="45"/>
      <c r="E79" s="45"/>
      <c r="F79" s="45"/>
      <c r="G79" s="45"/>
      <c r="H79" s="45"/>
      <c r="I79" s="46"/>
      <c r="J79" s="46"/>
    </row>
    <row r="80" spans="1:10" s="25" customFormat="1" ht="16.5" customHeight="1">
      <c r="B80" s="45"/>
      <c r="C80" s="45"/>
      <c r="D80" s="45"/>
      <c r="E80" s="45"/>
      <c r="F80" s="45"/>
      <c r="G80" s="45"/>
      <c r="H80" s="45"/>
      <c r="I80" s="46"/>
      <c r="J80" s="46"/>
    </row>
    <row r="81" spans="1:10" s="25" customFormat="1" ht="16.5" customHeight="1">
      <c r="C81" s="26"/>
      <c r="D81" s="26"/>
      <c r="E81" s="26"/>
      <c r="F81" s="26"/>
      <c r="G81" s="26"/>
      <c r="H81" s="26"/>
      <c r="I81" s="27"/>
      <c r="J81" s="27"/>
    </row>
    <row r="82" spans="1:10" s="25" customFormat="1" ht="16.5" customHeight="1">
      <c r="C82" s="26"/>
      <c r="D82" s="26"/>
      <c r="E82" s="26"/>
      <c r="F82" s="26"/>
      <c r="G82" s="26"/>
      <c r="H82" s="26"/>
      <c r="I82" s="27"/>
      <c r="J82" s="27"/>
    </row>
    <row r="83" spans="1:10" s="4" customFormat="1" ht="15.65" customHeight="1">
      <c r="A83" s="106" t="s">
        <v>87</v>
      </c>
      <c r="B83" s="106"/>
      <c r="C83" s="106"/>
      <c r="D83" s="106"/>
      <c r="E83" s="106"/>
      <c r="F83" s="106"/>
      <c r="G83" s="106"/>
      <c r="H83" s="106"/>
      <c r="I83" s="106"/>
      <c r="J83" s="106"/>
    </row>
    <row r="84" spans="1:10" s="4" customFormat="1" ht="20.149999999999999" customHeight="1">
      <c r="A84" s="106"/>
      <c r="B84" s="106"/>
      <c r="C84" s="106"/>
      <c r="D84" s="106"/>
      <c r="E84" s="106"/>
      <c r="F84" s="106"/>
      <c r="G84" s="106"/>
      <c r="H84" s="106"/>
      <c r="I84" s="106"/>
      <c r="J84" s="106"/>
    </row>
    <row r="85" spans="1:10" s="4" customFormat="1" ht="15.65" customHeight="1">
      <c r="A85" s="106"/>
      <c r="B85" s="106"/>
      <c r="C85" s="106"/>
      <c r="D85" s="106"/>
      <c r="E85" s="106"/>
      <c r="F85" s="106"/>
      <c r="G85" s="106"/>
      <c r="H85" s="106"/>
      <c r="I85" s="106"/>
      <c r="J85" s="106"/>
    </row>
    <row r="86" spans="1:10" s="4" customFormat="1" ht="20.149999999999999" customHeight="1">
      <c r="A86" s="11"/>
      <c r="B86" s="11"/>
      <c r="C86" s="11"/>
      <c r="D86" s="11"/>
      <c r="E86" s="12"/>
      <c r="F86" s="12"/>
      <c r="G86" s="12"/>
      <c r="H86" s="12"/>
      <c r="I86" s="12"/>
      <c r="J86" s="11"/>
    </row>
    <row r="87" spans="1:10" s="4" customFormat="1" ht="20.149999999999999" customHeight="1">
      <c r="A87" s="11"/>
      <c r="B87" s="11"/>
      <c r="C87" s="11"/>
      <c r="D87" s="11"/>
      <c r="E87" s="12"/>
      <c r="F87" s="12"/>
      <c r="G87" s="12"/>
      <c r="H87" s="12"/>
      <c r="I87" s="12"/>
      <c r="J87" s="11"/>
    </row>
    <row r="88" spans="1:10" s="4" customFormat="1" ht="20.149999999999999" customHeight="1">
      <c r="A88" s="11"/>
      <c r="B88" s="11"/>
      <c r="C88" s="11"/>
      <c r="D88" s="11"/>
      <c r="E88" s="12"/>
      <c r="F88" s="12"/>
      <c r="G88" s="12"/>
      <c r="H88" s="12"/>
      <c r="I88" s="12"/>
      <c r="J88" s="11"/>
    </row>
    <row r="89" spans="1:10" s="4" customFormat="1" ht="20.149999999999999" customHeight="1">
      <c r="A89" s="11"/>
      <c r="B89" s="11"/>
      <c r="C89" s="11"/>
      <c r="D89" s="11"/>
      <c r="E89" s="12"/>
      <c r="F89" s="12"/>
      <c r="G89" s="12"/>
      <c r="H89" s="12"/>
      <c r="I89" s="12"/>
      <c r="J89" s="11"/>
    </row>
    <row r="90" spans="1:10" s="4" customFormat="1" ht="20.149999999999999" customHeight="1">
      <c r="A90" s="11"/>
      <c r="B90" s="11"/>
      <c r="C90" s="11"/>
      <c r="D90" s="11"/>
      <c r="E90" s="12"/>
      <c r="F90" s="12"/>
      <c r="G90" s="12"/>
      <c r="H90" s="12"/>
      <c r="I90" s="12"/>
      <c r="J90" s="11"/>
    </row>
    <row r="91" spans="1:10" s="4" customFormat="1" ht="20.149999999999999" customHeight="1">
      <c r="A91" s="11"/>
      <c r="B91" s="11"/>
      <c r="C91" s="11"/>
      <c r="D91" s="11"/>
      <c r="E91" s="12"/>
      <c r="F91" s="12"/>
      <c r="G91" s="12"/>
      <c r="H91" s="12"/>
      <c r="I91" s="12"/>
      <c r="J91" s="11"/>
    </row>
    <row r="92" spans="1:10" s="4" customFormat="1" ht="20.149999999999999" customHeight="1">
      <c r="A92" s="11"/>
      <c r="B92" s="11"/>
      <c r="C92" s="11"/>
      <c r="D92" s="11"/>
      <c r="E92" s="12"/>
      <c r="F92" s="12"/>
      <c r="G92" s="12"/>
      <c r="H92" s="12"/>
      <c r="I92" s="12"/>
      <c r="J92" s="11"/>
    </row>
  </sheetData>
  <sheetProtection algorithmName="SHA-512" hashValue="A1zAzg6xducPM5xMoHfGKRL+AoiSvXa/UprbPojmWyN3olbSCDWasiat+OAsbRpdErkq5Sqlj77/U4FqhGE6Fg==" saltValue="z9OCqcuC1QbZlG+S0nPW6w==" spinCount="100000" sheet="1" formatCells="0" formatColumns="0" formatRows="0" insertColumns="0" insertRows="0" insertHyperlinks="0" deleteColumns="0" deleteRows="0" sort="0" autoFilter="0" pivotTables="0"/>
  <mergeCells count="48">
    <mergeCell ref="H20:I20"/>
    <mergeCell ref="H21:I21"/>
    <mergeCell ref="A56:J56"/>
    <mergeCell ref="A83:J85"/>
    <mergeCell ref="A49:J49"/>
    <mergeCell ref="A50:J50"/>
    <mergeCell ref="E38:F38"/>
    <mergeCell ref="G38:H38"/>
    <mergeCell ref="I38:J38"/>
    <mergeCell ref="H42:I42"/>
    <mergeCell ref="H43:I43"/>
    <mergeCell ref="I40:J40"/>
    <mergeCell ref="H41:I41"/>
    <mergeCell ref="A46:J48"/>
    <mergeCell ref="H27:I27"/>
    <mergeCell ref="H29:I29"/>
    <mergeCell ref="H25:I25"/>
    <mergeCell ref="H26:I26"/>
    <mergeCell ref="H28:I28"/>
    <mergeCell ref="I32:J32"/>
    <mergeCell ref="E34:F34"/>
    <mergeCell ref="I36:J36"/>
    <mergeCell ref="I35:J35"/>
    <mergeCell ref="I34:J34"/>
    <mergeCell ref="G33:H33"/>
    <mergeCell ref="E32:F32"/>
    <mergeCell ref="G32:H32"/>
    <mergeCell ref="E35:F35"/>
    <mergeCell ref="E36:F36"/>
    <mergeCell ref="G34:H34"/>
    <mergeCell ref="G35:H35"/>
    <mergeCell ref="G36:H36"/>
    <mergeCell ref="H22:I22"/>
    <mergeCell ref="H19:I19"/>
    <mergeCell ref="H23:I23"/>
    <mergeCell ref="H24:I24"/>
    <mergeCell ref="A1:J1"/>
    <mergeCell ref="A2:J2"/>
    <mergeCell ref="I3:J3"/>
    <mergeCell ref="I5:J5"/>
    <mergeCell ref="H15:I15"/>
    <mergeCell ref="E3:F3"/>
    <mergeCell ref="E4:F4"/>
    <mergeCell ref="E5:F5"/>
    <mergeCell ref="H11:I11"/>
    <mergeCell ref="H12:I12"/>
    <mergeCell ref="H14:I14"/>
    <mergeCell ref="H16:I16"/>
  </mergeCells>
  <phoneticPr fontId="7" type="noConversion"/>
  <printOptions horizontalCentered="1"/>
  <pageMargins left="0" right="0" top="1.25" bottom="0.70465686274509798" header="0" footer="0"/>
  <pageSetup paperSize="9" fitToWidth="0" fitToHeight="0" orientation="portrait" r:id="rId1"/>
  <headerFooter>
    <oddHeader xml:space="preserve">&amp;L&amp;G&amp;R
</oddHeader>
    <oddFooter>&amp;R&amp;G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71C5D502B4A814BAE6466F0D36BF9C9" ma:contentTypeVersion="3" ma:contentTypeDescription="Create a new document." ma:contentTypeScope="" ma:versionID="6cbb364f7c49d5772824334f75a9f7de">
  <xsd:schema xmlns:xsd="http://www.w3.org/2001/XMLSchema" xmlns:xs="http://www.w3.org/2001/XMLSchema" xmlns:p="http://schemas.microsoft.com/office/2006/metadata/properties" xmlns:ns2="7260e033-0408-45c3-b4d2-a18fd9a203e2" targetNamespace="http://schemas.microsoft.com/office/2006/metadata/properties" ma:root="true" ma:fieldsID="038235bc483cafc3455f529dc87cd7d4" ns2:_="">
    <xsd:import namespace="7260e033-0408-45c3-b4d2-a18fd9a203e2"/>
    <xsd:element name="properties">
      <xsd:complexType>
        <xsd:sequence>
          <xsd:element name="documentManagement">
            <xsd:complexType>
              <xsd:all>
                <xsd:element ref="ns2:MediaServiceMetadata" minOccurs="0"/>
                <xsd:element ref="ns2:MediaServiceFastMetadata"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60e033-0408-45c3-b4d2-a18fd9a203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9AA4566-3C89-4FD6-8558-E69EF96555CA}">
  <ds:schemaRefs>
    <ds:schemaRef ds:uri="http://schemas.microsoft.com/office/2006/metadata/contentType"/>
    <ds:schemaRef ds:uri="http://schemas.microsoft.com/office/2006/metadata/properties/metaAttributes"/>
    <ds:schemaRef ds:uri="http://www.w3.org/2000/xmlns/"/>
    <ds:schemaRef ds:uri="http://www.w3.org/2001/XMLSchema"/>
    <ds:schemaRef ds:uri="7260e033-0408-45c3-b4d2-a18fd9a203e2"/>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452D29-626D-4264-ACD7-CA5E3AB716BC}">
  <ds:schemaRefs>
    <ds:schemaRef ds:uri="http://schemas.microsoft.com/sharepoint/v3/contenttype/forms"/>
  </ds:schemaRefs>
</ds:datastoreItem>
</file>

<file path=customXml/itemProps3.xml><?xml version="1.0" encoding="utf-8"?>
<ds:datastoreItem xmlns:ds="http://schemas.openxmlformats.org/officeDocument/2006/customXml" ds:itemID="{E7F9D79A-B0DC-446C-A126-03CB822A689D}">
  <ds:schemaRefs>
    <ds:schemaRef ds:uri="http://schemas.microsoft.com/office/2006/metadata/properties"/>
    <ds:schemaRef ds:uri="http://www.w3.org/2000/xmln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2</vt:i4>
      </vt:variant>
    </vt:vector>
  </HeadingPairs>
  <TitlesOfParts>
    <vt:vector size="2" baseType="lpstr">
      <vt:lpstr>INPUT</vt:lpstr>
      <vt:lpstr>OUTPUT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 Leung</dc:creator>
  <cp:lastModifiedBy>alan.tam@zuu.com.hk</cp:lastModifiedBy>
  <cp:lastPrinted>2022-06-01T01:14:07Z</cp:lastPrinted>
  <dcterms:created xsi:type="dcterms:W3CDTF">2022-03-17T08:35:08Z</dcterms:created>
  <dcterms:modified xsi:type="dcterms:W3CDTF">2022-06-21T07:47:15Z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0x010100B71C5D502B4A814BAE6466F0D36BF9C9</vt:lpwstr>
  </property>
</Properties>
</file>